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idtné Nagy Terézia\Documents\2019\2019_Önkormányzat\2019_zárszámadás\2019_Zárszámadás\"/>
    </mc:Choice>
  </mc:AlternateContent>
  <bookViews>
    <workbookView xWindow="0" yWindow="0" windowWidth="7476" windowHeight="1800" tabRatio="865" activeTab="3"/>
  </bookViews>
  <sheets>
    <sheet name="kiadási segédtábla" sheetId="15" r:id="rId1"/>
    <sheet name="bevételi segédtábla" sheetId="16" r:id="rId2"/>
    <sheet name="egységenkénti segédtábla" sheetId="17" r:id="rId3"/>
    <sheet name="1. Sülysáp összesen" sheetId="11" r:id="rId4"/>
    <sheet name=" 2. Önk. Bevételek" sheetId="10" r:id="rId5"/>
    <sheet name="3. Önk. Kiadások" sheetId="9" r:id="rId6"/>
    <sheet name="4. Dr Gáspár HSZK" sheetId="2" r:id="rId7"/>
    <sheet name="5. Csicsergő" sheetId="3" r:id="rId8"/>
    <sheet name="6. Gólyahír" sheetId="4" r:id="rId9"/>
    <sheet name="7. Polg.Hiv." sheetId="5" r:id="rId10"/>
    <sheet name="8. WAMKK" sheetId="6" r:id="rId11"/>
    <sheet name="9. Közp. Konyha" sheetId="7" r:id="rId12"/>
    <sheet name="10. Tám.kieg és kötött felh" sheetId="21" r:id="rId13"/>
    <sheet name="11.Tám. szoc., ált., köznev." sheetId="22" r:id="rId14"/>
    <sheet name="12. Mérleg Önk" sheetId="23" r:id="rId15"/>
    <sheet name="13. Konsz mérleg" sheetId="24" r:id="rId16"/>
    <sheet name="14.Eszközváltozás kimutatás" sheetId="25" r:id="rId17"/>
    <sheet name="15.Vagyonkimutatás" sheetId="26" r:id="rId18"/>
    <sheet name="16. Eredménykimutatás" sheetId="27" r:id="rId19"/>
    <sheet name="17. Konsz. eredménykim" sheetId="28" r:id="rId20"/>
    <sheet name="18. Konsz. maradványkimutat" sheetId="29" r:id="rId21"/>
    <sheet name="19. Kölcsön és hiteláll" sheetId="30" r:id="rId22"/>
    <sheet name="20. Adósságáll." sheetId="31" r:id="rId23"/>
    <sheet name="21. Pénzeszközök változása" sheetId="32" r:id="rId24"/>
    <sheet name="22.Működési mérleg" sheetId="33" r:id="rId25"/>
    <sheet name="23.Felhalmozási mérleg" sheetId="34" r:id="rId26"/>
    <sheet name="24.Beruházások és felújítások" sheetId="35" r:id="rId27"/>
    <sheet name="25.Közvetett támogatások" sheetId="36" r:id="rId28"/>
  </sheets>
  <externalReferences>
    <externalReference r:id="rId29"/>
    <externalReference r:id="rId30"/>
  </externalReferences>
  <definedNames>
    <definedName name="_xlnm.Print_Titles" localSheetId="2">'egységenkénti segédtábla'!$7:$10</definedName>
    <definedName name="_xlnm.Print_Area" localSheetId="4">' 2. Önk. Bevételek'!$A$1:$V$96</definedName>
    <definedName name="_xlnm.Print_Area" localSheetId="3">'1. Sülysáp összesen'!$A$1:$V$41</definedName>
    <definedName name="_xlnm.Print_Area" localSheetId="5">'3. Önk. Kiadások'!$A$1:$V$168</definedName>
    <definedName name="_xlnm.Print_Area" localSheetId="6">'4. Dr Gáspár HSZK'!$A$1:$V$102</definedName>
    <definedName name="_xlnm.Print_Area" localSheetId="7">'5. Csicsergő'!$A$1:$V$102</definedName>
    <definedName name="_xlnm.Print_Area" localSheetId="8">'6. Gólyahír'!$A$1:$V$102</definedName>
    <definedName name="_xlnm.Print_Area" localSheetId="9">'7. Polg.Hiv.'!$A$1:$V$102</definedName>
    <definedName name="_xlnm.Print_Area" localSheetId="10">'8. WAMKK'!$A$1:$V$102</definedName>
    <definedName name="_xlnm.Print_Area" localSheetId="11">'9. Közp. Konyha'!$A$1:$V$102</definedName>
    <definedName name="_xlnm.Print_Area" localSheetId="1">'bevételi segédtábla'!$A$1:$V$145</definedName>
    <definedName name="_xlnm.Print_Area" localSheetId="2">'egységenkénti segédtábla'!$A$1:$T$197</definedName>
    <definedName name="_xlnm.Print_Area" localSheetId="0">'kiadási segédtábla'!$A$1:$V$146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33" l="1"/>
  <c r="D30" i="33"/>
  <c r="F16" i="32" l="1"/>
  <c r="E16" i="32"/>
  <c r="D16" i="32"/>
  <c r="C16" i="32"/>
  <c r="B16" i="32"/>
  <c r="F13" i="32"/>
  <c r="E13" i="32"/>
  <c r="D13" i="32"/>
  <c r="C13" i="32"/>
  <c r="B13" i="32"/>
  <c r="F10" i="32"/>
  <c r="E10" i="32"/>
  <c r="D10" i="32"/>
  <c r="C10" i="32"/>
  <c r="B10" i="32"/>
  <c r="F7" i="32"/>
  <c r="F19" i="32" s="1"/>
  <c r="E7" i="32"/>
  <c r="E19" i="32" s="1"/>
  <c r="D7" i="32"/>
  <c r="D19" i="32" s="1"/>
  <c r="C7" i="32"/>
  <c r="C19" i="32" s="1"/>
  <c r="B7" i="32"/>
  <c r="B19" i="32" s="1"/>
  <c r="H123" i="16" l="1"/>
  <c r="J117" i="16" s="1"/>
  <c r="J118" i="16"/>
  <c r="I117" i="16"/>
  <c r="H118" i="16"/>
  <c r="I116" i="16"/>
  <c r="H116" i="16"/>
  <c r="H115" i="16"/>
  <c r="H127" i="16"/>
  <c r="H114" i="16"/>
  <c r="J113" i="16"/>
  <c r="J112" i="16"/>
  <c r="I112" i="16"/>
  <c r="H113" i="16" l="1"/>
  <c r="I114" i="16"/>
  <c r="I115" i="16"/>
  <c r="J116" i="16"/>
  <c r="I118" i="16"/>
  <c r="H112" i="16"/>
  <c r="I113" i="16"/>
  <c r="J114" i="16"/>
  <c r="J115" i="16"/>
  <c r="H117" i="16"/>
  <c r="P31" i="7"/>
  <c r="Q31" i="7"/>
  <c r="R31" i="7"/>
  <c r="N102" i="7"/>
  <c r="M102" i="7"/>
  <c r="L102" i="7"/>
  <c r="N101" i="7"/>
  <c r="M101" i="7"/>
  <c r="L101" i="7"/>
  <c r="N100" i="7"/>
  <c r="M100" i="7"/>
  <c r="L100" i="7"/>
  <c r="N99" i="7"/>
  <c r="M99" i="7"/>
  <c r="L99" i="7"/>
  <c r="N98" i="7"/>
  <c r="M98" i="7"/>
  <c r="L98" i="7"/>
  <c r="N97" i="7"/>
  <c r="M97" i="7"/>
  <c r="L97" i="7"/>
  <c r="N96" i="7"/>
  <c r="M96" i="7"/>
  <c r="L96" i="7"/>
  <c r="N95" i="7"/>
  <c r="M95" i="7"/>
  <c r="L95" i="7"/>
  <c r="N94" i="7"/>
  <c r="M94" i="7"/>
  <c r="L94" i="7"/>
  <c r="N93" i="7"/>
  <c r="M93" i="7"/>
  <c r="L93" i="7"/>
  <c r="N92" i="7"/>
  <c r="M92" i="7"/>
  <c r="L92" i="7"/>
  <c r="N91" i="7"/>
  <c r="M91" i="7"/>
  <c r="L91" i="7"/>
  <c r="N90" i="7"/>
  <c r="M90" i="7"/>
  <c r="L90" i="7"/>
  <c r="N89" i="7"/>
  <c r="M89" i="7"/>
  <c r="L89" i="7"/>
  <c r="N88" i="7"/>
  <c r="M88" i="7"/>
  <c r="L88" i="7"/>
  <c r="N87" i="7"/>
  <c r="M87" i="7"/>
  <c r="L87" i="7"/>
  <c r="N86" i="7"/>
  <c r="M86" i="7"/>
  <c r="L86" i="7"/>
  <c r="N85" i="7"/>
  <c r="M85" i="7"/>
  <c r="L85" i="7"/>
  <c r="N84" i="7"/>
  <c r="M84" i="7"/>
  <c r="L84" i="7"/>
  <c r="N83" i="7"/>
  <c r="M83" i="7"/>
  <c r="L83" i="7"/>
  <c r="N82" i="7"/>
  <c r="M82" i="7"/>
  <c r="L82" i="7"/>
  <c r="N81" i="7"/>
  <c r="M81" i="7"/>
  <c r="L81" i="7"/>
  <c r="N80" i="7"/>
  <c r="M80" i="7"/>
  <c r="L80" i="7"/>
  <c r="N79" i="7"/>
  <c r="M79" i="7"/>
  <c r="L79" i="7"/>
  <c r="N78" i="7"/>
  <c r="M78" i="7"/>
  <c r="L78" i="7"/>
  <c r="N77" i="7"/>
  <c r="M77" i="7"/>
  <c r="L77" i="7"/>
  <c r="N76" i="7"/>
  <c r="M76" i="7"/>
  <c r="L76" i="7"/>
  <c r="N75" i="7"/>
  <c r="M75" i="7"/>
  <c r="L75" i="7"/>
  <c r="N74" i="7"/>
  <c r="M74" i="7"/>
  <c r="L74" i="7"/>
  <c r="N73" i="7"/>
  <c r="M73" i="7"/>
  <c r="L73" i="7"/>
  <c r="N72" i="7"/>
  <c r="M72" i="7"/>
  <c r="L72" i="7"/>
  <c r="N71" i="7"/>
  <c r="M71" i="7"/>
  <c r="L71" i="7"/>
  <c r="N70" i="7"/>
  <c r="M70" i="7"/>
  <c r="L70" i="7"/>
  <c r="N69" i="7"/>
  <c r="M69" i="7"/>
  <c r="L69" i="7"/>
  <c r="N68" i="7"/>
  <c r="M68" i="7"/>
  <c r="L68" i="7"/>
  <c r="N67" i="7"/>
  <c r="M67" i="7"/>
  <c r="L67" i="7"/>
  <c r="N66" i="7"/>
  <c r="M66" i="7"/>
  <c r="L66" i="7"/>
  <c r="N65" i="7"/>
  <c r="M65" i="7"/>
  <c r="L65" i="7"/>
  <c r="N64" i="7"/>
  <c r="M64" i="7"/>
  <c r="L64" i="7"/>
  <c r="N63" i="7"/>
  <c r="M63" i="7"/>
  <c r="L63" i="7"/>
  <c r="N62" i="7"/>
  <c r="M62" i="7"/>
  <c r="L62" i="7"/>
  <c r="N61" i="7"/>
  <c r="M61" i="7"/>
  <c r="L61" i="7"/>
  <c r="N60" i="7"/>
  <c r="M60" i="7"/>
  <c r="L60" i="7"/>
  <c r="N59" i="7"/>
  <c r="M59" i="7"/>
  <c r="L59" i="7"/>
  <c r="N58" i="7"/>
  <c r="M58" i="7"/>
  <c r="L58" i="7"/>
  <c r="N57" i="7"/>
  <c r="M57" i="7"/>
  <c r="L57" i="7"/>
  <c r="N56" i="7"/>
  <c r="M56" i="7"/>
  <c r="L56" i="7"/>
  <c r="N55" i="7"/>
  <c r="M55" i="7"/>
  <c r="L55" i="7"/>
  <c r="N54" i="7"/>
  <c r="M54" i="7"/>
  <c r="L54" i="7"/>
  <c r="N53" i="7"/>
  <c r="M53" i="7"/>
  <c r="L53" i="7"/>
  <c r="N52" i="7"/>
  <c r="M52" i="7"/>
  <c r="L52" i="7"/>
  <c r="N51" i="7"/>
  <c r="M51" i="7"/>
  <c r="L51" i="7"/>
  <c r="N50" i="7"/>
  <c r="M50" i="7"/>
  <c r="L50" i="7"/>
  <c r="N49" i="7"/>
  <c r="M49" i="7"/>
  <c r="L49" i="7"/>
  <c r="N48" i="7"/>
  <c r="M48" i="7"/>
  <c r="L48" i="7"/>
  <c r="N47" i="7"/>
  <c r="M47" i="7"/>
  <c r="L47" i="7"/>
  <c r="N46" i="7"/>
  <c r="M46" i="7"/>
  <c r="L46" i="7"/>
  <c r="N45" i="7"/>
  <c r="M45" i="7"/>
  <c r="L45" i="7"/>
  <c r="N44" i="7"/>
  <c r="M44" i="7"/>
  <c r="L44" i="7"/>
  <c r="N43" i="7"/>
  <c r="M43" i="7"/>
  <c r="L43" i="7"/>
  <c r="N42" i="7"/>
  <c r="M42" i="7"/>
  <c r="L42" i="7"/>
  <c r="N41" i="7"/>
  <c r="M41" i="7"/>
  <c r="L41" i="7"/>
  <c r="N40" i="7"/>
  <c r="M40" i="7"/>
  <c r="L40" i="7"/>
  <c r="N39" i="7"/>
  <c r="M39" i="7"/>
  <c r="L39" i="7"/>
  <c r="N38" i="7"/>
  <c r="M38" i="7"/>
  <c r="L38" i="7"/>
  <c r="N37" i="7"/>
  <c r="M37" i="7"/>
  <c r="L37" i="7"/>
  <c r="N36" i="7"/>
  <c r="M36" i="7"/>
  <c r="L36" i="7"/>
  <c r="N35" i="7"/>
  <c r="M35" i="7"/>
  <c r="L35" i="7"/>
  <c r="N34" i="7"/>
  <c r="M34" i="7"/>
  <c r="L34" i="7"/>
  <c r="N33" i="7"/>
  <c r="M33" i="7"/>
  <c r="L33" i="7"/>
  <c r="N32" i="7"/>
  <c r="M32" i="7"/>
  <c r="L32" i="7"/>
  <c r="N31" i="7"/>
  <c r="M31" i="7"/>
  <c r="L31" i="7"/>
  <c r="N30" i="7"/>
  <c r="M30" i="7"/>
  <c r="L30" i="7"/>
  <c r="N29" i="7"/>
  <c r="M29" i="7"/>
  <c r="L29" i="7"/>
  <c r="N28" i="7"/>
  <c r="M28" i="7"/>
  <c r="L28" i="7"/>
  <c r="N27" i="7"/>
  <c r="M27" i="7"/>
  <c r="L27" i="7"/>
  <c r="N26" i="7"/>
  <c r="M26" i="7"/>
  <c r="L26" i="7"/>
  <c r="N25" i="7"/>
  <c r="M25" i="7"/>
  <c r="L25" i="7"/>
  <c r="N24" i="7"/>
  <c r="M24" i="7"/>
  <c r="L24" i="7"/>
  <c r="N23" i="7"/>
  <c r="M23" i="7"/>
  <c r="L23" i="7"/>
  <c r="N22" i="7"/>
  <c r="M22" i="7"/>
  <c r="L22" i="7"/>
  <c r="N21" i="7"/>
  <c r="M21" i="7"/>
  <c r="L21" i="7"/>
  <c r="N20" i="7"/>
  <c r="M20" i="7"/>
  <c r="L20" i="7"/>
  <c r="N19" i="7"/>
  <c r="M19" i="7"/>
  <c r="L19" i="7"/>
  <c r="N18" i="7"/>
  <c r="M18" i="7"/>
  <c r="L18" i="7"/>
  <c r="N17" i="7"/>
  <c r="M17" i="7"/>
  <c r="L17" i="7"/>
  <c r="N16" i="7"/>
  <c r="M16" i="7"/>
  <c r="L16" i="7"/>
  <c r="N15" i="7"/>
  <c r="M15" i="7"/>
  <c r="L15" i="7"/>
  <c r="N14" i="7"/>
  <c r="M14" i="7"/>
  <c r="L14" i="7"/>
  <c r="N13" i="7"/>
  <c r="M13" i="7"/>
  <c r="L13" i="7"/>
  <c r="L6" i="7"/>
  <c r="M6" i="7"/>
  <c r="N6" i="7"/>
  <c r="L7" i="7"/>
  <c r="M7" i="7"/>
  <c r="N7" i="7"/>
  <c r="N5" i="7"/>
  <c r="M5" i="7"/>
  <c r="L5" i="7"/>
  <c r="V14" i="7"/>
  <c r="V15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2" i="7"/>
  <c r="V33" i="7"/>
  <c r="V34" i="7"/>
  <c r="V35" i="7"/>
  <c r="V36" i="7"/>
  <c r="V37" i="7"/>
  <c r="V38" i="7"/>
  <c r="V39" i="7"/>
  <c r="V40" i="7"/>
  <c r="V41" i="7"/>
  <c r="V42" i="7"/>
  <c r="V43" i="7"/>
  <c r="V44" i="7"/>
  <c r="V45" i="7"/>
  <c r="V46" i="7"/>
  <c r="V47" i="7"/>
  <c r="V48" i="7"/>
  <c r="V49" i="7"/>
  <c r="V50" i="7"/>
  <c r="V51" i="7"/>
  <c r="V52" i="7"/>
  <c r="V53" i="7"/>
  <c r="V54" i="7"/>
  <c r="V55" i="7"/>
  <c r="V56" i="7"/>
  <c r="V57" i="7"/>
  <c r="V58" i="7"/>
  <c r="V59" i="7"/>
  <c r="V60" i="7"/>
  <c r="V61" i="7"/>
  <c r="V62" i="7"/>
  <c r="V63" i="7"/>
  <c r="V64" i="7"/>
  <c r="V65" i="7"/>
  <c r="V66" i="7"/>
  <c r="V67" i="7"/>
  <c r="V68" i="7"/>
  <c r="V69" i="7"/>
  <c r="V70" i="7"/>
  <c r="V71" i="7"/>
  <c r="V72" i="7"/>
  <c r="V73" i="7"/>
  <c r="V74" i="7"/>
  <c r="V75" i="7"/>
  <c r="V76" i="7"/>
  <c r="V77" i="7"/>
  <c r="V78" i="7"/>
  <c r="V79" i="7"/>
  <c r="V80" i="7"/>
  <c r="V81" i="7"/>
  <c r="V82" i="7"/>
  <c r="V83" i="7"/>
  <c r="V84" i="7"/>
  <c r="V85" i="7"/>
  <c r="V86" i="7"/>
  <c r="V87" i="7"/>
  <c r="V88" i="7"/>
  <c r="V89" i="7"/>
  <c r="V90" i="7"/>
  <c r="V91" i="7"/>
  <c r="V92" i="7"/>
  <c r="V93" i="7"/>
  <c r="V94" i="7"/>
  <c r="V95" i="7"/>
  <c r="V96" i="7"/>
  <c r="V97" i="7"/>
  <c r="V98" i="7"/>
  <c r="V99" i="7"/>
  <c r="V100" i="7"/>
  <c r="V101" i="7"/>
  <c r="V102" i="7"/>
  <c r="V13" i="7"/>
  <c r="V6" i="7"/>
  <c r="V7" i="7"/>
  <c r="V5" i="7"/>
  <c r="V4" i="7"/>
  <c r="V4" i="6"/>
  <c r="V6" i="6"/>
  <c r="V7" i="6"/>
  <c r="V5" i="6"/>
  <c r="V15" i="6"/>
  <c r="P15" i="6"/>
  <c r="Q15" i="6"/>
  <c r="S15" i="6" s="1"/>
  <c r="R15" i="6"/>
  <c r="V101" i="6"/>
  <c r="V100" i="6"/>
  <c r="V99" i="6"/>
  <c r="V98" i="6"/>
  <c r="V97" i="6"/>
  <c r="V96" i="6"/>
  <c r="V95" i="6"/>
  <c r="V94" i="6"/>
  <c r="V93" i="6"/>
  <c r="V89" i="6"/>
  <c r="V88" i="6"/>
  <c r="V87" i="6"/>
  <c r="V86" i="6"/>
  <c r="V85" i="6"/>
  <c r="V84" i="6"/>
  <c r="V83" i="6"/>
  <c r="V82" i="6"/>
  <c r="V81" i="6"/>
  <c r="V80" i="6"/>
  <c r="V79" i="6"/>
  <c r="V78" i="6"/>
  <c r="V77" i="6"/>
  <c r="V76" i="6"/>
  <c r="V75" i="6"/>
  <c r="V74" i="6"/>
  <c r="V73" i="6"/>
  <c r="V72" i="6"/>
  <c r="V71" i="6"/>
  <c r="V70" i="6"/>
  <c r="V69" i="6"/>
  <c r="V68" i="6"/>
  <c r="V67" i="6"/>
  <c r="V66" i="6"/>
  <c r="V65" i="6"/>
  <c r="V64" i="6"/>
  <c r="V63" i="6"/>
  <c r="V62" i="6"/>
  <c r="V61" i="6"/>
  <c r="V60" i="6"/>
  <c r="V59" i="6"/>
  <c r="V58" i="6"/>
  <c r="V57" i="6"/>
  <c r="V56" i="6"/>
  <c r="V55" i="6"/>
  <c r="V54" i="6"/>
  <c r="V53" i="6"/>
  <c r="V52" i="6"/>
  <c r="V51" i="6"/>
  <c r="V50" i="6"/>
  <c r="V49" i="6"/>
  <c r="V48" i="6"/>
  <c r="V47" i="6"/>
  <c r="V46" i="6"/>
  <c r="V45" i="6"/>
  <c r="V44" i="6"/>
  <c r="V43" i="6"/>
  <c r="V42" i="6"/>
  <c r="V41" i="6"/>
  <c r="V40" i="6"/>
  <c r="V39" i="6"/>
  <c r="V38" i="6"/>
  <c r="V37" i="6"/>
  <c r="V36" i="6"/>
  <c r="V35" i="6"/>
  <c r="V34" i="6"/>
  <c r="V33" i="6"/>
  <c r="V32" i="6"/>
  <c r="V31" i="6"/>
  <c r="V30" i="6"/>
  <c r="V29" i="6"/>
  <c r="V28" i="6"/>
  <c r="V27" i="6"/>
  <c r="V26" i="6"/>
  <c r="V25" i="6"/>
  <c r="V24" i="6"/>
  <c r="V23" i="6"/>
  <c r="V22" i="6"/>
  <c r="V21" i="6"/>
  <c r="V20" i="6"/>
  <c r="V19" i="6"/>
  <c r="V18" i="6"/>
  <c r="V17" i="6"/>
  <c r="V16" i="6"/>
  <c r="V14" i="6"/>
  <c r="V13" i="6"/>
  <c r="V102" i="6"/>
  <c r="N102" i="6"/>
  <c r="M102" i="6"/>
  <c r="L102" i="6"/>
  <c r="N101" i="6"/>
  <c r="M101" i="6"/>
  <c r="L101" i="6"/>
  <c r="N100" i="6"/>
  <c r="M100" i="6"/>
  <c r="L100" i="6"/>
  <c r="N99" i="6"/>
  <c r="M99" i="6"/>
  <c r="L99" i="6"/>
  <c r="N98" i="6"/>
  <c r="M98" i="6"/>
  <c r="L98" i="6"/>
  <c r="N97" i="6"/>
  <c r="M97" i="6"/>
  <c r="L97" i="6"/>
  <c r="N96" i="6"/>
  <c r="M96" i="6"/>
  <c r="L96" i="6"/>
  <c r="N95" i="6"/>
  <c r="M95" i="6"/>
  <c r="L95" i="6"/>
  <c r="N94" i="6"/>
  <c r="M94" i="6"/>
  <c r="L94" i="6"/>
  <c r="N93" i="6"/>
  <c r="M93" i="6"/>
  <c r="L93" i="6"/>
  <c r="N89" i="6"/>
  <c r="M89" i="6"/>
  <c r="L89" i="6"/>
  <c r="N88" i="6"/>
  <c r="M88" i="6"/>
  <c r="L88" i="6"/>
  <c r="N87" i="6"/>
  <c r="M87" i="6"/>
  <c r="L87" i="6"/>
  <c r="N86" i="6"/>
  <c r="M86" i="6"/>
  <c r="L86" i="6"/>
  <c r="N85" i="6"/>
  <c r="M85" i="6"/>
  <c r="L85" i="6"/>
  <c r="N84" i="6"/>
  <c r="M84" i="6"/>
  <c r="L84" i="6"/>
  <c r="N83" i="6"/>
  <c r="M83" i="6"/>
  <c r="L83" i="6"/>
  <c r="N82" i="6"/>
  <c r="M82" i="6"/>
  <c r="L82" i="6"/>
  <c r="N81" i="6"/>
  <c r="M81" i="6"/>
  <c r="L81" i="6"/>
  <c r="N80" i="6"/>
  <c r="M80" i="6"/>
  <c r="L80" i="6"/>
  <c r="N79" i="6"/>
  <c r="M79" i="6"/>
  <c r="L79" i="6"/>
  <c r="N78" i="6"/>
  <c r="M78" i="6"/>
  <c r="L78" i="6"/>
  <c r="N77" i="6"/>
  <c r="M77" i="6"/>
  <c r="L77" i="6"/>
  <c r="N76" i="6"/>
  <c r="M76" i="6"/>
  <c r="L76" i="6"/>
  <c r="N75" i="6"/>
  <c r="M75" i="6"/>
  <c r="L75" i="6"/>
  <c r="N74" i="6"/>
  <c r="M74" i="6"/>
  <c r="L74" i="6"/>
  <c r="N73" i="6"/>
  <c r="M73" i="6"/>
  <c r="L73" i="6"/>
  <c r="N72" i="6"/>
  <c r="M72" i="6"/>
  <c r="L72" i="6"/>
  <c r="N71" i="6"/>
  <c r="M71" i="6"/>
  <c r="L71" i="6"/>
  <c r="N70" i="6"/>
  <c r="M70" i="6"/>
  <c r="L70" i="6"/>
  <c r="N69" i="6"/>
  <c r="M69" i="6"/>
  <c r="L69" i="6"/>
  <c r="N68" i="6"/>
  <c r="M68" i="6"/>
  <c r="L68" i="6"/>
  <c r="N67" i="6"/>
  <c r="M67" i="6"/>
  <c r="L67" i="6"/>
  <c r="N66" i="6"/>
  <c r="M66" i="6"/>
  <c r="L66" i="6"/>
  <c r="N65" i="6"/>
  <c r="M65" i="6"/>
  <c r="L65" i="6"/>
  <c r="N64" i="6"/>
  <c r="M64" i="6"/>
  <c r="L64" i="6"/>
  <c r="N63" i="6"/>
  <c r="M63" i="6"/>
  <c r="L63" i="6"/>
  <c r="N62" i="6"/>
  <c r="M62" i="6"/>
  <c r="L62" i="6"/>
  <c r="N61" i="6"/>
  <c r="M61" i="6"/>
  <c r="L61" i="6"/>
  <c r="N60" i="6"/>
  <c r="M60" i="6"/>
  <c r="L60" i="6"/>
  <c r="N59" i="6"/>
  <c r="M59" i="6"/>
  <c r="L59" i="6"/>
  <c r="N58" i="6"/>
  <c r="M58" i="6"/>
  <c r="L58" i="6"/>
  <c r="N57" i="6"/>
  <c r="M57" i="6"/>
  <c r="L57" i="6"/>
  <c r="N56" i="6"/>
  <c r="M56" i="6"/>
  <c r="L56" i="6"/>
  <c r="N55" i="6"/>
  <c r="M55" i="6"/>
  <c r="L55" i="6"/>
  <c r="N54" i="6"/>
  <c r="M54" i="6"/>
  <c r="L54" i="6"/>
  <c r="N53" i="6"/>
  <c r="M53" i="6"/>
  <c r="L53" i="6"/>
  <c r="N52" i="6"/>
  <c r="M52" i="6"/>
  <c r="L52" i="6"/>
  <c r="N51" i="6"/>
  <c r="M51" i="6"/>
  <c r="L51" i="6"/>
  <c r="N50" i="6"/>
  <c r="M50" i="6"/>
  <c r="L50" i="6"/>
  <c r="N49" i="6"/>
  <c r="M49" i="6"/>
  <c r="L49" i="6"/>
  <c r="N48" i="6"/>
  <c r="M48" i="6"/>
  <c r="L48" i="6"/>
  <c r="N47" i="6"/>
  <c r="M47" i="6"/>
  <c r="L47" i="6"/>
  <c r="N46" i="6"/>
  <c r="M46" i="6"/>
  <c r="L46" i="6"/>
  <c r="N45" i="6"/>
  <c r="M45" i="6"/>
  <c r="L45" i="6"/>
  <c r="N44" i="6"/>
  <c r="M44" i="6"/>
  <c r="L44" i="6"/>
  <c r="N43" i="6"/>
  <c r="M43" i="6"/>
  <c r="L43" i="6"/>
  <c r="N42" i="6"/>
  <c r="M42" i="6"/>
  <c r="L42" i="6"/>
  <c r="N41" i="6"/>
  <c r="M41" i="6"/>
  <c r="L41" i="6"/>
  <c r="N40" i="6"/>
  <c r="M40" i="6"/>
  <c r="L40" i="6"/>
  <c r="N39" i="6"/>
  <c r="M39" i="6"/>
  <c r="L39" i="6"/>
  <c r="N38" i="6"/>
  <c r="M38" i="6"/>
  <c r="L38" i="6"/>
  <c r="N37" i="6"/>
  <c r="M37" i="6"/>
  <c r="L37" i="6"/>
  <c r="N36" i="6"/>
  <c r="M36" i="6"/>
  <c r="L36" i="6"/>
  <c r="N35" i="6"/>
  <c r="M35" i="6"/>
  <c r="L35" i="6"/>
  <c r="N34" i="6"/>
  <c r="M34" i="6"/>
  <c r="L34" i="6"/>
  <c r="N33" i="6"/>
  <c r="M33" i="6"/>
  <c r="L33" i="6"/>
  <c r="N32" i="6"/>
  <c r="M32" i="6"/>
  <c r="L32" i="6"/>
  <c r="N31" i="6"/>
  <c r="M31" i="6"/>
  <c r="L31" i="6"/>
  <c r="N30" i="6"/>
  <c r="M30" i="6"/>
  <c r="L30" i="6"/>
  <c r="N29" i="6"/>
  <c r="M29" i="6"/>
  <c r="L29" i="6"/>
  <c r="N28" i="6"/>
  <c r="M28" i="6"/>
  <c r="L28" i="6"/>
  <c r="N27" i="6"/>
  <c r="M27" i="6"/>
  <c r="L27" i="6"/>
  <c r="N26" i="6"/>
  <c r="M26" i="6"/>
  <c r="L26" i="6"/>
  <c r="N25" i="6"/>
  <c r="M25" i="6"/>
  <c r="L25" i="6"/>
  <c r="N24" i="6"/>
  <c r="M24" i="6"/>
  <c r="L24" i="6"/>
  <c r="N23" i="6"/>
  <c r="M23" i="6"/>
  <c r="L23" i="6"/>
  <c r="N22" i="6"/>
  <c r="M22" i="6"/>
  <c r="L22" i="6"/>
  <c r="N21" i="6"/>
  <c r="M21" i="6"/>
  <c r="L21" i="6"/>
  <c r="N20" i="6"/>
  <c r="M20" i="6"/>
  <c r="L20" i="6"/>
  <c r="N19" i="6"/>
  <c r="M19" i="6"/>
  <c r="L19" i="6"/>
  <c r="N18" i="6"/>
  <c r="M18" i="6"/>
  <c r="L18" i="6"/>
  <c r="N17" i="6"/>
  <c r="M17" i="6"/>
  <c r="L17" i="6"/>
  <c r="N16" i="6"/>
  <c r="M16" i="6"/>
  <c r="L16" i="6"/>
  <c r="N15" i="6"/>
  <c r="M15" i="6"/>
  <c r="L15" i="6"/>
  <c r="N13" i="6"/>
  <c r="M13" i="6"/>
  <c r="L13" i="6"/>
  <c r="L6" i="6"/>
  <c r="M6" i="6"/>
  <c r="N6" i="6"/>
  <c r="L7" i="6"/>
  <c r="M7" i="6"/>
  <c r="N7" i="6"/>
  <c r="N5" i="6"/>
  <c r="M5" i="6"/>
  <c r="L5" i="6"/>
  <c r="T97" i="5"/>
  <c r="P97" i="5"/>
  <c r="Q97" i="5"/>
  <c r="S97" i="5" s="1"/>
  <c r="V97" i="5" s="1"/>
  <c r="R97" i="5"/>
  <c r="L97" i="5"/>
  <c r="M97" i="5"/>
  <c r="N97" i="5"/>
  <c r="N102" i="5"/>
  <c r="M102" i="5"/>
  <c r="L102" i="5"/>
  <c r="N101" i="5"/>
  <c r="M101" i="5"/>
  <c r="L101" i="5"/>
  <c r="N100" i="5"/>
  <c r="M100" i="5"/>
  <c r="L100" i="5"/>
  <c r="N99" i="5"/>
  <c r="M99" i="5"/>
  <c r="L99" i="5"/>
  <c r="N98" i="5"/>
  <c r="M98" i="5"/>
  <c r="L98" i="5"/>
  <c r="N96" i="5"/>
  <c r="M96" i="5"/>
  <c r="L96" i="5"/>
  <c r="N95" i="5"/>
  <c r="M95" i="5"/>
  <c r="L95" i="5"/>
  <c r="N94" i="5"/>
  <c r="M94" i="5"/>
  <c r="L94" i="5"/>
  <c r="N93" i="5"/>
  <c r="M93" i="5"/>
  <c r="L93" i="5"/>
  <c r="N92" i="5"/>
  <c r="M92" i="5"/>
  <c r="L92" i="5"/>
  <c r="N91" i="5"/>
  <c r="M91" i="5"/>
  <c r="L91" i="5"/>
  <c r="N90" i="5"/>
  <c r="M90" i="5"/>
  <c r="L90" i="5"/>
  <c r="N89" i="5"/>
  <c r="M89" i="5"/>
  <c r="L89" i="5"/>
  <c r="N88" i="5"/>
  <c r="M88" i="5"/>
  <c r="L88" i="5"/>
  <c r="N87" i="5"/>
  <c r="M87" i="5"/>
  <c r="L87" i="5"/>
  <c r="N86" i="5"/>
  <c r="M86" i="5"/>
  <c r="L86" i="5"/>
  <c r="N85" i="5"/>
  <c r="M85" i="5"/>
  <c r="L85" i="5"/>
  <c r="N84" i="5"/>
  <c r="M84" i="5"/>
  <c r="L84" i="5"/>
  <c r="N83" i="5"/>
  <c r="M83" i="5"/>
  <c r="L83" i="5"/>
  <c r="N82" i="5"/>
  <c r="M82" i="5"/>
  <c r="L82" i="5"/>
  <c r="N81" i="5"/>
  <c r="M81" i="5"/>
  <c r="L81" i="5"/>
  <c r="N80" i="5"/>
  <c r="M80" i="5"/>
  <c r="L80" i="5"/>
  <c r="N79" i="5"/>
  <c r="M79" i="5"/>
  <c r="L79" i="5"/>
  <c r="N78" i="5"/>
  <c r="M78" i="5"/>
  <c r="L78" i="5"/>
  <c r="N77" i="5"/>
  <c r="M77" i="5"/>
  <c r="L77" i="5"/>
  <c r="N76" i="5"/>
  <c r="M76" i="5"/>
  <c r="L76" i="5"/>
  <c r="N75" i="5"/>
  <c r="M75" i="5"/>
  <c r="L75" i="5"/>
  <c r="N74" i="5"/>
  <c r="M74" i="5"/>
  <c r="L74" i="5"/>
  <c r="N73" i="5"/>
  <c r="M73" i="5"/>
  <c r="L73" i="5"/>
  <c r="N72" i="5"/>
  <c r="M72" i="5"/>
  <c r="L72" i="5"/>
  <c r="N71" i="5"/>
  <c r="M71" i="5"/>
  <c r="L71" i="5"/>
  <c r="N70" i="5"/>
  <c r="M70" i="5"/>
  <c r="L70" i="5"/>
  <c r="N69" i="5"/>
  <c r="M69" i="5"/>
  <c r="L69" i="5"/>
  <c r="N68" i="5"/>
  <c r="M68" i="5"/>
  <c r="L68" i="5"/>
  <c r="N67" i="5"/>
  <c r="M67" i="5"/>
  <c r="L67" i="5"/>
  <c r="N66" i="5"/>
  <c r="M66" i="5"/>
  <c r="L66" i="5"/>
  <c r="N65" i="5"/>
  <c r="M65" i="5"/>
  <c r="L65" i="5"/>
  <c r="N64" i="5"/>
  <c r="M64" i="5"/>
  <c r="L64" i="5"/>
  <c r="N63" i="5"/>
  <c r="M63" i="5"/>
  <c r="L63" i="5"/>
  <c r="N62" i="5"/>
  <c r="M62" i="5"/>
  <c r="L62" i="5"/>
  <c r="N61" i="5"/>
  <c r="M61" i="5"/>
  <c r="L61" i="5"/>
  <c r="N60" i="5"/>
  <c r="M60" i="5"/>
  <c r="L60" i="5"/>
  <c r="N59" i="5"/>
  <c r="M59" i="5"/>
  <c r="L59" i="5"/>
  <c r="N58" i="5"/>
  <c r="M58" i="5"/>
  <c r="L58" i="5"/>
  <c r="N57" i="5"/>
  <c r="M57" i="5"/>
  <c r="L57" i="5"/>
  <c r="N56" i="5"/>
  <c r="M56" i="5"/>
  <c r="L56" i="5"/>
  <c r="N55" i="5"/>
  <c r="M55" i="5"/>
  <c r="L55" i="5"/>
  <c r="N54" i="5"/>
  <c r="M54" i="5"/>
  <c r="L54" i="5"/>
  <c r="N53" i="5"/>
  <c r="M53" i="5"/>
  <c r="L53" i="5"/>
  <c r="N52" i="5"/>
  <c r="M52" i="5"/>
  <c r="L52" i="5"/>
  <c r="N51" i="5"/>
  <c r="M51" i="5"/>
  <c r="L51" i="5"/>
  <c r="N50" i="5"/>
  <c r="M50" i="5"/>
  <c r="L50" i="5"/>
  <c r="N49" i="5"/>
  <c r="M49" i="5"/>
  <c r="L49" i="5"/>
  <c r="N48" i="5"/>
  <c r="M48" i="5"/>
  <c r="L48" i="5"/>
  <c r="N47" i="5"/>
  <c r="M47" i="5"/>
  <c r="L47" i="5"/>
  <c r="N46" i="5"/>
  <c r="M46" i="5"/>
  <c r="L46" i="5"/>
  <c r="N45" i="5"/>
  <c r="M45" i="5"/>
  <c r="L45" i="5"/>
  <c r="N44" i="5"/>
  <c r="M44" i="5"/>
  <c r="L44" i="5"/>
  <c r="N43" i="5"/>
  <c r="M43" i="5"/>
  <c r="L43" i="5"/>
  <c r="N42" i="5"/>
  <c r="M42" i="5"/>
  <c r="L42" i="5"/>
  <c r="N41" i="5"/>
  <c r="M41" i="5"/>
  <c r="L41" i="5"/>
  <c r="N40" i="5"/>
  <c r="M40" i="5"/>
  <c r="L40" i="5"/>
  <c r="N39" i="5"/>
  <c r="M39" i="5"/>
  <c r="L39" i="5"/>
  <c r="N38" i="5"/>
  <c r="M38" i="5"/>
  <c r="L38" i="5"/>
  <c r="N37" i="5"/>
  <c r="M37" i="5"/>
  <c r="L37" i="5"/>
  <c r="N36" i="5"/>
  <c r="M36" i="5"/>
  <c r="L36" i="5"/>
  <c r="N35" i="5"/>
  <c r="M35" i="5"/>
  <c r="L35" i="5"/>
  <c r="N34" i="5"/>
  <c r="M34" i="5"/>
  <c r="L34" i="5"/>
  <c r="N33" i="5"/>
  <c r="M33" i="5"/>
  <c r="L33" i="5"/>
  <c r="N32" i="5"/>
  <c r="M32" i="5"/>
  <c r="L32" i="5"/>
  <c r="N31" i="5"/>
  <c r="M31" i="5"/>
  <c r="L31" i="5"/>
  <c r="N30" i="5"/>
  <c r="M30" i="5"/>
  <c r="L30" i="5"/>
  <c r="N29" i="5"/>
  <c r="M29" i="5"/>
  <c r="L29" i="5"/>
  <c r="N28" i="5"/>
  <c r="M28" i="5"/>
  <c r="L28" i="5"/>
  <c r="N27" i="5"/>
  <c r="M27" i="5"/>
  <c r="L27" i="5"/>
  <c r="N26" i="5"/>
  <c r="M26" i="5"/>
  <c r="L26" i="5"/>
  <c r="N25" i="5"/>
  <c r="M25" i="5"/>
  <c r="L25" i="5"/>
  <c r="N24" i="5"/>
  <c r="M24" i="5"/>
  <c r="L24" i="5"/>
  <c r="N23" i="5"/>
  <c r="M23" i="5"/>
  <c r="L23" i="5"/>
  <c r="N22" i="5"/>
  <c r="M22" i="5"/>
  <c r="L22" i="5"/>
  <c r="N21" i="5"/>
  <c r="M21" i="5"/>
  <c r="L21" i="5"/>
  <c r="N20" i="5"/>
  <c r="M20" i="5"/>
  <c r="L20" i="5"/>
  <c r="N19" i="5"/>
  <c r="M19" i="5"/>
  <c r="L19" i="5"/>
  <c r="N18" i="5"/>
  <c r="M18" i="5"/>
  <c r="L18" i="5"/>
  <c r="N17" i="5"/>
  <c r="M17" i="5"/>
  <c r="L17" i="5"/>
  <c r="N16" i="5"/>
  <c r="M16" i="5"/>
  <c r="L16" i="5"/>
  <c r="N15" i="5"/>
  <c r="M15" i="5"/>
  <c r="L15" i="5"/>
  <c r="N14" i="5"/>
  <c r="M14" i="5"/>
  <c r="L14" i="5"/>
  <c r="N13" i="5"/>
  <c r="M13" i="5"/>
  <c r="L13" i="5"/>
  <c r="N7" i="5"/>
  <c r="M7" i="5"/>
  <c r="L7" i="5"/>
  <c r="N6" i="5"/>
  <c r="M6" i="5"/>
  <c r="L6" i="5"/>
  <c r="N5" i="5"/>
  <c r="M5" i="5"/>
  <c r="L5" i="5"/>
  <c r="V102" i="5"/>
  <c r="V101" i="5"/>
  <c r="V100" i="5"/>
  <c r="V99" i="5"/>
  <c r="V98" i="5"/>
  <c r="V96" i="5"/>
  <c r="V95" i="5"/>
  <c r="V94" i="5"/>
  <c r="V93" i="5"/>
  <c r="V92" i="5"/>
  <c r="V91" i="5"/>
  <c r="V90" i="5"/>
  <c r="V89" i="5"/>
  <c r="V88" i="5"/>
  <c r="V87" i="5"/>
  <c r="V86" i="5"/>
  <c r="V85" i="5"/>
  <c r="V84" i="5"/>
  <c r="V83" i="5"/>
  <c r="V82" i="5"/>
  <c r="V81" i="5"/>
  <c r="V80" i="5"/>
  <c r="V79" i="5"/>
  <c r="V78" i="5"/>
  <c r="V77" i="5"/>
  <c r="V76" i="5"/>
  <c r="V75" i="5"/>
  <c r="V74" i="5"/>
  <c r="V73" i="5"/>
  <c r="V72" i="5"/>
  <c r="V71" i="5"/>
  <c r="V70" i="5"/>
  <c r="V69" i="5"/>
  <c r="V68" i="5"/>
  <c r="V67" i="5"/>
  <c r="V66" i="5"/>
  <c r="V65" i="5"/>
  <c r="V64" i="5"/>
  <c r="V63" i="5"/>
  <c r="V62" i="5"/>
  <c r="V61" i="5"/>
  <c r="V60" i="5"/>
  <c r="V59" i="5"/>
  <c r="V58" i="5"/>
  <c r="V57" i="5"/>
  <c r="V56" i="5"/>
  <c r="V55" i="5"/>
  <c r="V54" i="5"/>
  <c r="V53" i="5"/>
  <c r="V52" i="5"/>
  <c r="V51" i="5"/>
  <c r="V50" i="5"/>
  <c r="V49" i="5"/>
  <c r="V48" i="5"/>
  <c r="V47" i="5"/>
  <c r="V46" i="5"/>
  <c r="V45" i="5"/>
  <c r="V44" i="5"/>
  <c r="V43" i="5"/>
  <c r="V42" i="5"/>
  <c r="V41" i="5"/>
  <c r="V40" i="5"/>
  <c r="V39" i="5"/>
  <c r="V38" i="5"/>
  <c r="V37" i="5"/>
  <c r="V36" i="5"/>
  <c r="V35" i="5"/>
  <c r="V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7" i="5"/>
  <c r="V6" i="5"/>
  <c r="V5" i="5"/>
  <c r="V4" i="5"/>
  <c r="V4" i="4"/>
  <c r="V4" i="3"/>
  <c r="V7" i="4"/>
  <c r="V6" i="4"/>
  <c r="V5" i="4"/>
  <c r="V100" i="4"/>
  <c r="V99" i="4"/>
  <c r="V98" i="4"/>
  <c r="V97" i="4"/>
  <c r="V96" i="4"/>
  <c r="V95" i="4"/>
  <c r="V94" i="4"/>
  <c r="V93" i="4"/>
  <c r="V92" i="4"/>
  <c r="V91" i="4"/>
  <c r="V90" i="4"/>
  <c r="V89" i="4"/>
  <c r="V88" i="4"/>
  <c r="V87" i="4"/>
  <c r="V86" i="4"/>
  <c r="V85" i="4"/>
  <c r="V84" i="4"/>
  <c r="V83" i="4"/>
  <c r="V82" i="4"/>
  <c r="V81" i="4"/>
  <c r="V80" i="4"/>
  <c r="V79" i="4"/>
  <c r="V78" i="4"/>
  <c r="V77" i="4"/>
  <c r="V76" i="4"/>
  <c r="V75" i="4"/>
  <c r="V74" i="4"/>
  <c r="V73" i="4"/>
  <c r="V72" i="4"/>
  <c r="V71" i="4"/>
  <c r="V70" i="4"/>
  <c r="V69" i="4"/>
  <c r="V68" i="4"/>
  <c r="V67" i="4"/>
  <c r="V66" i="4"/>
  <c r="V65" i="4"/>
  <c r="V64" i="4"/>
  <c r="V63" i="4"/>
  <c r="V62" i="4"/>
  <c r="V61" i="4"/>
  <c r="V60" i="4"/>
  <c r="V59" i="4"/>
  <c r="V58" i="4"/>
  <c r="V57" i="4"/>
  <c r="V56" i="4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01" i="4"/>
  <c r="V102" i="4"/>
  <c r="N102" i="4"/>
  <c r="M102" i="4"/>
  <c r="L102" i="4"/>
  <c r="N101" i="4"/>
  <c r="M101" i="4"/>
  <c r="L101" i="4"/>
  <c r="N100" i="4"/>
  <c r="M100" i="4"/>
  <c r="L100" i="4"/>
  <c r="N99" i="4"/>
  <c r="M99" i="4"/>
  <c r="L99" i="4"/>
  <c r="N98" i="4"/>
  <c r="M98" i="4"/>
  <c r="L98" i="4"/>
  <c r="N97" i="4"/>
  <c r="M97" i="4"/>
  <c r="L97" i="4"/>
  <c r="N96" i="4"/>
  <c r="M96" i="4"/>
  <c r="L96" i="4"/>
  <c r="N95" i="4"/>
  <c r="M95" i="4"/>
  <c r="L95" i="4"/>
  <c r="N93" i="4"/>
  <c r="M93" i="4"/>
  <c r="L93" i="4"/>
  <c r="N89" i="4"/>
  <c r="M89" i="4"/>
  <c r="L89" i="4"/>
  <c r="N88" i="4"/>
  <c r="M88" i="4"/>
  <c r="L88" i="4"/>
  <c r="N87" i="4"/>
  <c r="M87" i="4"/>
  <c r="L87" i="4"/>
  <c r="N86" i="4"/>
  <c r="M86" i="4"/>
  <c r="L86" i="4"/>
  <c r="N85" i="4"/>
  <c r="M85" i="4"/>
  <c r="L85" i="4"/>
  <c r="N84" i="4"/>
  <c r="M84" i="4"/>
  <c r="L84" i="4"/>
  <c r="N83" i="4"/>
  <c r="M83" i="4"/>
  <c r="L83" i="4"/>
  <c r="N81" i="4"/>
  <c r="M81" i="4"/>
  <c r="L81" i="4"/>
  <c r="N80" i="4"/>
  <c r="M80" i="4"/>
  <c r="L80" i="4"/>
  <c r="N79" i="4"/>
  <c r="M79" i="4"/>
  <c r="L79" i="4"/>
  <c r="N78" i="4"/>
  <c r="M78" i="4"/>
  <c r="L78" i="4"/>
  <c r="N77" i="4"/>
  <c r="M77" i="4"/>
  <c r="L77" i="4"/>
  <c r="N76" i="4"/>
  <c r="M76" i="4"/>
  <c r="L76" i="4"/>
  <c r="N75" i="4"/>
  <c r="M75" i="4"/>
  <c r="L75" i="4"/>
  <c r="N74" i="4"/>
  <c r="M74" i="4"/>
  <c r="L74" i="4"/>
  <c r="N73" i="4"/>
  <c r="M73" i="4"/>
  <c r="L73" i="4"/>
  <c r="N72" i="4"/>
  <c r="M72" i="4"/>
  <c r="L72" i="4"/>
  <c r="N71" i="4"/>
  <c r="M71" i="4"/>
  <c r="L71" i="4"/>
  <c r="N70" i="4"/>
  <c r="M70" i="4"/>
  <c r="L70" i="4"/>
  <c r="N69" i="4"/>
  <c r="M69" i="4"/>
  <c r="L69" i="4"/>
  <c r="N68" i="4"/>
  <c r="M68" i="4"/>
  <c r="L68" i="4"/>
  <c r="N67" i="4"/>
  <c r="M67" i="4"/>
  <c r="L67" i="4"/>
  <c r="N66" i="4"/>
  <c r="M66" i="4"/>
  <c r="L66" i="4"/>
  <c r="N65" i="4"/>
  <c r="M65" i="4"/>
  <c r="L65" i="4"/>
  <c r="N64" i="4"/>
  <c r="M64" i="4"/>
  <c r="L64" i="4"/>
  <c r="N63" i="4"/>
  <c r="M63" i="4"/>
  <c r="L63" i="4"/>
  <c r="N62" i="4"/>
  <c r="M62" i="4"/>
  <c r="L62" i="4"/>
  <c r="N61" i="4"/>
  <c r="M61" i="4"/>
  <c r="L61" i="4"/>
  <c r="N60" i="4"/>
  <c r="M60" i="4"/>
  <c r="L60" i="4"/>
  <c r="N59" i="4"/>
  <c r="M59" i="4"/>
  <c r="L59" i="4"/>
  <c r="N58" i="4"/>
  <c r="M58" i="4"/>
  <c r="L58" i="4"/>
  <c r="N57" i="4"/>
  <c r="M57" i="4"/>
  <c r="L57" i="4"/>
  <c r="N56" i="4"/>
  <c r="M56" i="4"/>
  <c r="L56" i="4"/>
  <c r="N55" i="4"/>
  <c r="M55" i="4"/>
  <c r="L55" i="4"/>
  <c r="N54" i="4"/>
  <c r="M54" i="4"/>
  <c r="L54" i="4"/>
  <c r="N53" i="4"/>
  <c r="M53" i="4"/>
  <c r="L53" i="4"/>
  <c r="N52" i="4"/>
  <c r="M52" i="4"/>
  <c r="L52" i="4"/>
  <c r="N51" i="4"/>
  <c r="M51" i="4"/>
  <c r="L51" i="4"/>
  <c r="N50" i="4"/>
  <c r="M50" i="4"/>
  <c r="L50" i="4"/>
  <c r="N49" i="4"/>
  <c r="M49" i="4"/>
  <c r="L49" i="4"/>
  <c r="N48" i="4"/>
  <c r="M48" i="4"/>
  <c r="L48" i="4"/>
  <c r="N47" i="4"/>
  <c r="M47" i="4"/>
  <c r="L47" i="4"/>
  <c r="N46" i="4"/>
  <c r="M46" i="4"/>
  <c r="L46" i="4"/>
  <c r="N45" i="4"/>
  <c r="M45" i="4"/>
  <c r="L45" i="4"/>
  <c r="N44" i="4"/>
  <c r="M44" i="4"/>
  <c r="L44" i="4"/>
  <c r="N43" i="4"/>
  <c r="M43" i="4"/>
  <c r="L43" i="4"/>
  <c r="N42" i="4"/>
  <c r="M42" i="4"/>
  <c r="L42" i="4"/>
  <c r="N41" i="4"/>
  <c r="M41" i="4"/>
  <c r="L41" i="4"/>
  <c r="N40" i="4"/>
  <c r="M40" i="4"/>
  <c r="L40" i="4"/>
  <c r="N39" i="4"/>
  <c r="M39" i="4"/>
  <c r="L39" i="4"/>
  <c r="N38" i="4"/>
  <c r="M38" i="4"/>
  <c r="L38" i="4"/>
  <c r="N37" i="4"/>
  <c r="M37" i="4"/>
  <c r="L37" i="4"/>
  <c r="N36" i="4"/>
  <c r="M36" i="4"/>
  <c r="L36" i="4"/>
  <c r="N35" i="4"/>
  <c r="M35" i="4"/>
  <c r="L35" i="4"/>
  <c r="N34" i="4"/>
  <c r="M34" i="4"/>
  <c r="L34" i="4"/>
  <c r="N33" i="4"/>
  <c r="M33" i="4"/>
  <c r="L33" i="4"/>
  <c r="N32" i="4"/>
  <c r="M32" i="4"/>
  <c r="L32" i="4"/>
  <c r="N30" i="4"/>
  <c r="M30" i="4"/>
  <c r="L30" i="4"/>
  <c r="N29" i="4"/>
  <c r="M29" i="4"/>
  <c r="L29" i="4"/>
  <c r="N27" i="4"/>
  <c r="M27" i="4"/>
  <c r="L27" i="4"/>
  <c r="N26" i="4"/>
  <c r="M26" i="4"/>
  <c r="L26" i="4"/>
  <c r="N25" i="4"/>
  <c r="M25" i="4"/>
  <c r="L25" i="4"/>
  <c r="N24" i="4"/>
  <c r="M24" i="4"/>
  <c r="L24" i="4"/>
  <c r="N23" i="4"/>
  <c r="M23" i="4"/>
  <c r="L23" i="4"/>
  <c r="N22" i="4"/>
  <c r="M22" i="4"/>
  <c r="L22" i="4"/>
  <c r="N21" i="4"/>
  <c r="M21" i="4"/>
  <c r="L21" i="4"/>
  <c r="N20" i="4"/>
  <c r="M20" i="4"/>
  <c r="L20" i="4"/>
  <c r="N19" i="4"/>
  <c r="M19" i="4"/>
  <c r="L19" i="4"/>
  <c r="N18" i="4"/>
  <c r="M18" i="4"/>
  <c r="L18" i="4"/>
  <c r="N17" i="4"/>
  <c r="M17" i="4"/>
  <c r="L17" i="4"/>
  <c r="N16" i="4"/>
  <c r="M16" i="4"/>
  <c r="L16" i="4"/>
  <c r="N15" i="4"/>
  <c r="M15" i="4"/>
  <c r="L15" i="4"/>
  <c r="N14" i="4"/>
  <c r="M14" i="4"/>
  <c r="L14" i="4"/>
  <c r="N6" i="4"/>
  <c r="N7" i="4"/>
  <c r="N5" i="4"/>
  <c r="N13" i="4"/>
  <c r="M7" i="4"/>
  <c r="L7" i="4"/>
  <c r="M6" i="4"/>
  <c r="L6" i="4"/>
  <c r="M5" i="4"/>
  <c r="L5" i="4"/>
  <c r="M13" i="4"/>
  <c r="L13" i="4"/>
  <c r="V7" i="3"/>
  <c r="V6" i="3"/>
  <c r="V5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02" i="3"/>
  <c r="M102" i="3"/>
  <c r="M101" i="3"/>
  <c r="M100" i="3"/>
  <c r="M99" i="3"/>
  <c r="M98" i="3"/>
  <c r="M97" i="3"/>
  <c r="M96" i="3"/>
  <c r="M95" i="3"/>
  <c r="M94" i="3"/>
  <c r="M93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3" i="3"/>
  <c r="M7" i="3"/>
  <c r="M6" i="3"/>
  <c r="M5" i="3"/>
  <c r="N102" i="3"/>
  <c r="L102" i="3"/>
  <c r="N101" i="3"/>
  <c r="L101" i="3"/>
  <c r="N100" i="3"/>
  <c r="L100" i="3"/>
  <c r="N99" i="3"/>
  <c r="L99" i="3"/>
  <c r="N98" i="3"/>
  <c r="L98" i="3"/>
  <c r="N97" i="3"/>
  <c r="L97" i="3"/>
  <c r="N96" i="3"/>
  <c r="L96" i="3"/>
  <c r="N95" i="3"/>
  <c r="L95" i="3"/>
  <c r="N94" i="3"/>
  <c r="L94" i="3"/>
  <c r="N93" i="3"/>
  <c r="L93" i="3"/>
  <c r="N90" i="3"/>
  <c r="L90" i="3"/>
  <c r="N89" i="3"/>
  <c r="L89" i="3"/>
  <c r="N88" i="3"/>
  <c r="L88" i="3"/>
  <c r="N87" i="3"/>
  <c r="L87" i="3"/>
  <c r="N86" i="3"/>
  <c r="L86" i="3"/>
  <c r="N85" i="3"/>
  <c r="L85" i="3"/>
  <c r="N84" i="3"/>
  <c r="L84" i="3"/>
  <c r="N83" i="3"/>
  <c r="L83" i="3"/>
  <c r="N82" i="3"/>
  <c r="L82" i="3"/>
  <c r="N81" i="3"/>
  <c r="L81" i="3"/>
  <c r="N80" i="3"/>
  <c r="L80" i="3"/>
  <c r="N79" i="3"/>
  <c r="L79" i="3"/>
  <c r="N78" i="3"/>
  <c r="L78" i="3"/>
  <c r="N77" i="3"/>
  <c r="L77" i="3"/>
  <c r="N76" i="3"/>
  <c r="L76" i="3"/>
  <c r="N75" i="3"/>
  <c r="L75" i="3"/>
  <c r="N74" i="3"/>
  <c r="L74" i="3"/>
  <c r="N73" i="3"/>
  <c r="L73" i="3"/>
  <c r="N72" i="3"/>
  <c r="L72" i="3"/>
  <c r="N71" i="3"/>
  <c r="L71" i="3"/>
  <c r="N70" i="3"/>
  <c r="L70" i="3"/>
  <c r="N69" i="3"/>
  <c r="L69" i="3"/>
  <c r="N68" i="3"/>
  <c r="L68" i="3"/>
  <c r="N67" i="3"/>
  <c r="L67" i="3"/>
  <c r="N66" i="3"/>
  <c r="L66" i="3"/>
  <c r="N65" i="3"/>
  <c r="L65" i="3"/>
  <c r="N64" i="3"/>
  <c r="L64" i="3"/>
  <c r="N63" i="3"/>
  <c r="L63" i="3"/>
  <c r="N62" i="3"/>
  <c r="L62" i="3"/>
  <c r="N61" i="3"/>
  <c r="L61" i="3"/>
  <c r="N60" i="3"/>
  <c r="L60" i="3"/>
  <c r="N59" i="3"/>
  <c r="L59" i="3"/>
  <c r="N58" i="3"/>
  <c r="L58" i="3"/>
  <c r="N57" i="3"/>
  <c r="L57" i="3"/>
  <c r="N56" i="3"/>
  <c r="L56" i="3"/>
  <c r="N55" i="3"/>
  <c r="L55" i="3"/>
  <c r="N54" i="3"/>
  <c r="L54" i="3"/>
  <c r="N53" i="3"/>
  <c r="L53" i="3"/>
  <c r="N52" i="3"/>
  <c r="L52" i="3"/>
  <c r="N51" i="3"/>
  <c r="L51" i="3"/>
  <c r="N50" i="3"/>
  <c r="L50" i="3"/>
  <c r="N49" i="3"/>
  <c r="L49" i="3"/>
  <c r="N48" i="3"/>
  <c r="L48" i="3"/>
  <c r="N47" i="3"/>
  <c r="L47" i="3"/>
  <c r="N46" i="3"/>
  <c r="L46" i="3"/>
  <c r="N45" i="3"/>
  <c r="L45" i="3"/>
  <c r="N44" i="3"/>
  <c r="L44" i="3"/>
  <c r="N43" i="3"/>
  <c r="L43" i="3"/>
  <c r="N42" i="3"/>
  <c r="L42" i="3"/>
  <c r="N41" i="3"/>
  <c r="L41" i="3"/>
  <c r="N40" i="3"/>
  <c r="L40" i="3"/>
  <c r="N39" i="3"/>
  <c r="L39" i="3"/>
  <c r="N38" i="3"/>
  <c r="L38" i="3"/>
  <c r="N37" i="3"/>
  <c r="L37" i="3"/>
  <c r="N36" i="3"/>
  <c r="L36" i="3"/>
  <c r="N35" i="3"/>
  <c r="L35" i="3"/>
  <c r="N34" i="3"/>
  <c r="L34" i="3"/>
  <c r="N33" i="3"/>
  <c r="L33" i="3"/>
  <c r="N31" i="3"/>
  <c r="L31" i="3"/>
  <c r="N30" i="3"/>
  <c r="L30" i="3"/>
  <c r="N29" i="3"/>
  <c r="L29" i="3"/>
  <c r="N28" i="3"/>
  <c r="L28" i="3"/>
  <c r="N27" i="3"/>
  <c r="L27" i="3"/>
  <c r="N26" i="3"/>
  <c r="L26" i="3"/>
  <c r="N25" i="3"/>
  <c r="L25" i="3"/>
  <c r="N24" i="3"/>
  <c r="L24" i="3"/>
  <c r="N23" i="3"/>
  <c r="L23" i="3"/>
  <c r="N22" i="3"/>
  <c r="L22" i="3"/>
  <c r="N21" i="3"/>
  <c r="L21" i="3"/>
  <c r="N20" i="3"/>
  <c r="L20" i="3"/>
  <c r="N19" i="3"/>
  <c r="L19" i="3"/>
  <c r="N18" i="3"/>
  <c r="L18" i="3"/>
  <c r="N17" i="3"/>
  <c r="L17" i="3"/>
  <c r="N16" i="3"/>
  <c r="L16" i="3"/>
  <c r="N15" i="3"/>
  <c r="L15" i="3"/>
  <c r="N13" i="3"/>
  <c r="L13" i="3"/>
  <c r="N7" i="3"/>
  <c r="L7" i="3"/>
  <c r="N6" i="3"/>
  <c r="L6" i="3"/>
  <c r="N5" i="3"/>
  <c r="L5" i="3"/>
  <c r="N102" i="2"/>
  <c r="M102" i="2"/>
  <c r="L102" i="2"/>
  <c r="N101" i="2"/>
  <c r="M101" i="2"/>
  <c r="L101" i="2"/>
  <c r="N100" i="2"/>
  <c r="M100" i="2"/>
  <c r="L100" i="2"/>
  <c r="N99" i="2"/>
  <c r="M99" i="2"/>
  <c r="L99" i="2"/>
  <c r="N98" i="2"/>
  <c r="M98" i="2"/>
  <c r="L98" i="2"/>
  <c r="N97" i="2"/>
  <c r="M97" i="2"/>
  <c r="L97" i="2"/>
  <c r="N96" i="2"/>
  <c r="M96" i="2"/>
  <c r="L96" i="2"/>
  <c r="N95" i="2"/>
  <c r="M95" i="2"/>
  <c r="L95" i="2"/>
  <c r="N93" i="2"/>
  <c r="M93" i="2"/>
  <c r="L93" i="2"/>
  <c r="N89" i="2"/>
  <c r="M89" i="2"/>
  <c r="L89" i="2"/>
  <c r="N86" i="2"/>
  <c r="M86" i="2"/>
  <c r="L86" i="2"/>
  <c r="N84" i="2"/>
  <c r="M84" i="2"/>
  <c r="L84" i="2"/>
  <c r="N83" i="2"/>
  <c r="M83" i="2"/>
  <c r="L83" i="2"/>
  <c r="N81" i="2"/>
  <c r="M81" i="2"/>
  <c r="L81" i="2"/>
  <c r="N80" i="2"/>
  <c r="M80" i="2"/>
  <c r="L80" i="2"/>
  <c r="N79" i="2"/>
  <c r="M79" i="2"/>
  <c r="L79" i="2"/>
  <c r="N78" i="2"/>
  <c r="M78" i="2"/>
  <c r="L78" i="2"/>
  <c r="N77" i="2"/>
  <c r="M77" i="2"/>
  <c r="L77" i="2"/>
  <c r="N76" i="2"/>
  <c r="M76" i="2"/>
  <c r="L76" i="2"/>
  <c r="N75" i="2"/>
  <c r="M75" i="2"/>
  <c r="L75" i="2"/>
  <c r="N74" i="2"/>
  <c r="M74" i="2"/>
  <c r="L74" i="2"/>
  <c r="N73" i="2"/>
  <c r="M73" i="2"/>
  <c r="L73" i="2"/>
  <c r="N72" i="2"/>
  <c r="M72" i="2"/>
  <c r="L72" i="2"/>
  <c r="N71" i="2"/>
  <c r="M71" i="2"/>
  <c r="L71" i="2"/>
  <c r="N70" i="2"/>
  <c r="M70" i="2"/>
  <c r="L70" i="2"/>
  <c r="N69" i="2"/>
  <c r="M69" i="2"/>
  <c r="L69" i="2"/>
  <c r="N68" i="2"/>
  <c r="M68" i="2"/>
  <c r="L68" i="2"/>
  <c r="N67" i="2"/>
  <c r="M67" i="2"/>
  <c r="L67" i="2"/>
  <c r="N66" i="2"/>
  <c r="M66" i="2"/>
  <c r="L66" i="2"/>
  <c r="N65" i="2"/>
  <c r="M65" i="2"/>
  <c r="L65" i="2"/>
  <c r="N64" i="2"/>
  <c r="M64" i="2"/>
  <c r="L64" i="2"/>
  <c r="N63" i="2"/>
  <c r="M63" i="2"/>
  <c r="L63" i="2"/>
  <c r="N62" i="2"/>
  <c r="M62" i="2"/>
  <c r="L62" i="2"/>
  <c r="N61" i="2"/>
  <c r="M61" i="2"/>
  <c r="L61" i="2"/>
  <c r="N60" i="2"/>
  <c r="M60" i="2"/>
  <c r="L60" i="2"/>
  <c r="N59" i="2"/>
  <c r="M59" i="2"/>
  <c r="L59" i="2"/>
  <c r="N58" i="2"/>
  <c r="M58" i="2"/>
  <c r="L58" i="2"/>
  <c r="N57" i="2"/>
  <c r="M57" i="2"/>
  <c r="L57" i="2"/>
  <c r="N56" i="2"/>
  <c r="M56" i="2"/>
  <c r="L56" i="2"/>
  <c r="N55" i="2"/>
  <c r="M55" i="2"/>
  <c r="L55" i="2"/>
  <c r="N54" i="2"/>
  <c r="M54" i="2"/>
  <c r="L54" i="2"/>
  <c r="N53" i="2"/>
  <c r="M53" i="2"/>
  <c r="L53" i="2"/>
  <c r="N52" i="2"/>
  <c r="M52" i="2"/>
  <c r="L52" i="2"/>
  <c r="N51" i="2"/>
  <c r="M51" i="2"/>
  <c r="L51" i="2"/>
  <c r="N50" i="2"/>
  <c r="M50" i="2"/>
  <c r="L50" i="2"/>
  <c r="N49" i="2"/>
  <c r="M49" i="2"/>
  <c r="L49" i="2"/>
  <c r="N48" i="2"/>
  <c r="M48" i="2"/>
  <c r="L48" i="2"/>
  <c r="N47" i="2"/>
  <c r="M47" i="2"/>
  <c r="L47" i="2"/>
  <c r="N46" i="2"/>
  <c r="M46" i="2"/>
  <c r="L46" i="2"/>
  <c r="N45" i="2"/>
  <c r="M45" i="2"/>
  <c r="L45" i="2"/>
  <c r="N44" i="2"/>
  <c r="M44" i="2"/>
  <c r="L44" i="2"/>
  <c r="N43" i="2"/>
  <c r="M43" i="2"/>
  <c r="L43" i="2"/>
  <c r="N42" i="2"/>
  <c r="M42" i="2"/>
  <c r="L42" i="2"/>
  <c r="N41" i="2"/>
  <c r="M41" i="2"/>
  <c r="L41" i="2"/>
  <c r="N40" i="2"/>
  <c r="M40" i="2"/>
  <c r="L40" i="2"/>
  <c r="N39" i="2"/>
  <c r="M39" i="2"/>
  <c r="L39" i="2"/>
  <c r="N38" i="2"/>
  <c r="M38" i="2"/>
  <c r="L38" i="2"/>
  <c r="N37" i="2"/>
  <c r="M37" i="2"/>
  <c r="L37" i="2"/>
  <c r="N36" i="2"/>
  <c r="M36" i="2"/>
  <c r="L36" i="2"/>
  <c r="N35" i="2"/>
  <c r="M35" i="2"/>
  <c r="L35" i="2"/>
  <c r="N34" i="2"/>
  <c r="M34" i="2"/>
  <c r="L34" i="2"/>
  <c r="N33" i="2"/>
  <c r="M33" i="2"/>
  <c r="L33" i="2"/>
  <c r="N32" i="2"/>
  <c r="M32" i="2"/>
  <c r="L32" i="2"/>
  <c r="N30" i="2"/>
  <c r="M30" i="2"/>
  <c r="L30" i="2"/>
  <c r="N29" i="2"/>
  <c r="M29" i="2"/>
  <c r="L29" i="2"/>
  <c r="N27" i="2"/>
  <c r="M27" i="2"/>
  <c r="L27" i="2"/>
  <c r="N26" i="2"/>
  <c r="M26" i="2"/>
  <c r="L26" i="2"/>
  <c r="N25" i="2"/>
  <c r="M25" i="2"/>
  <c r="L25" i="2"/>
  <c r="N24" i="2"/>
  <c r="M24" i="2"/>
  <c r="L24" i="2"/>
  <c r="N23" i="2"/>
  <c r="M23" i="2"/>
  <c r="L23" i="2"/>
  <c r="N22" i="2"/>
  <c r="M22" i="2"/>
  <c r="L22" i="2"/>
  <c r="N21" i="2"/>
  <c r="M21" i="2"/>
  <c r="L21" i="2"/>
  <c r="N20" i="2"/>
  <c r="M20" i="2"/>
  <c r="L20" i="2"/>
  <c r="N19" i="2"/>
  <c r="M19" i="2"/>
  <c r="L19" i="2"/>
  <c r="N18" i="2"/>
  <c r="M18" i="2"/>
  <c r="L18" i="2"/>
  <c r="N17" i="2"/>
  <c r="M17" i="2"/>
  <c r="L17" i="2"/>
  <c r="N16" i="2"/>
  <c r="M16" i="2"/>
  <c r="L16" i="2"/>
  <c r="N15" i="2"/>
  <c r="M15" i="2"/>
  <c r="L15" i="2"/>
  <c r="N13" i="2"/>
  <c r="M13" i="2"/>
  <c r="L13" i="2"/>
  <c r="N7" i="2"/>
  <c r="M7" i="2"/>
  <c r="L7" i="2"/>
  <c r="N6" i="2"/>
  <c r="M6" i="2"/>
  <c r="L6" i="2"/>
  <c r="N5" i="2"/>
  <c r="M5" i="2"/>
  <c r="L5" i="2"/>
  <c r="V102" i="2"/>
  <c r="V101" i="2"/>
  <c r="V100" i="2"/>
  <c r="V99" i="2"/>
  <c r="V98" i="2"/>
  <c r="V97" i="2"/>
  <c r="V96" i="2"/>
  <c r="V95" i="2"/>
  <c r="V94" i="2"/>
  <c r="V93" i="2"/>
  <c r="V92" i="2"/>
  <c r="V91" i="2"/>
  <c r="V90" i="2"/>
  <c r="V89" i="2"/>
  <c r="V88" i="2"/>
  <c r="V87" i="2"/>
  <c r="V86" i="2"/>
  <c r="V85" i="2"/>
  <c r="V84" i="2"/>
  <c r="V83" i="2"/>
  <c r="V82" i="2"/>
  <c r="V81" i="2"/>
  <c r="V80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7" i="2"/>
  <c r="V6" i="2"/>
  <c r="V5" i="2"/>
  <c r="V4" i="2"/>
  <c r="T15" i="6" l="1"/>
  <c r="V8" i="9"/>
  <c r="V8" i="10"/>
  <c r="V14" i="15"/>
  <c r="V15" i="15"/>
  <c r="V16" i="15"/>
  <c r="V17" i="15"/>
  <c r="V18" i="15"/>
  <c r="V19" i="15"/>
  <c r="V20" i="15"/>
  <c r="V21" i="15"/>
  <c r="V22" i="15"/>
  <c r="V23" i="15"/>
  <c r="V24" i="15"/>
  <c r="V13" i="15"/>
  <c r="V9" i="15"/>
  <c r="V8" i="15"/>
  <c r="V8" i="16"/>
  <c r="V9" i="16"/>
  <c r="V14" i="16"/>
  <c r="V15" i="16"/>
  <c r="V16" i="16"/>
  <c r="V17" i="16"/>
  <c r="V18" i="16"/>
  <c r="V19" i="16"/>
  <c r="V20" i="16"/>
  <c r="V21" i="16"/>
  <c r="V22" i="16"/>
  <c r="V23" i="16"/>
  <c r="V13" i="16"/>
  <c r="T41" i="11"/>
  <c r="V41" i="11"/>
  <c r="V37" i="11"/>
  <c r="V36" i="11"/>
  <c r="V35" i="11"/>
  <c r="V34" i="11"/>
  <c r="V33" i="11"/>
  <c r="V32" i="11"/>
  <c r="V31" i="11"/>
  <c r="V30" i="11"/>
  <c r="V29" i="11"/>
  <c r="V28" i="11"/>
  <c r="V27" i="11"/>
  <c r="V11" i="11"/>
  <c r="V12" i="11"/>
  <c r="V13" i="11"/>
  <c r="V14" i="11"/>
  <c r="V15" i="11"/>
  <c r="V16" i="11"/>
  <c r="V17" i="11"/>
  <c r="V18" i="11"/>
  <c r="V19" i="11"/>
  <c r="V10" i="11"/>
  <c r="V9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46" i="10"/>
  <c r="V47" i="10"/>
  <c r="V48" i="10"/>
  <c r="V49" i="10"/>
  <c r="V50" i="10"/>
  <c r="V51" i="10"/>
  <c r="V52" i="10"/>
  <c r="V53" i="10"/>
  <c r="V54" i="10"/>
  <c r="V55" i="10"/>
  <c r="V56" i="10"/>
  <c r="V57" i="10"/>
  <c r="V58" i="10"/>
  <c r="V59" i="10"/>
  <c r="V60" i="10"/>
  <c r="V61" i="10"/>
  <c r="V62" i="10"/>
  <c r="V63" i="10"/>
  <c r="V64" i="10"/>
  <c r="V65" i="10"/>
  <c r="V66" i="10"/>
  <c r="V67" i="10"/>
  <c r="V68" i="10"/>
  <c r="V69" i="10"/>
  <c r="V70" i="10"/>
  <c r="V71" i="10"/>
  <c r="V72" i="10"/>
  <c r="V73" i="10"/>
  <c r="V74" i="10"/>
  <c r="V75" i="10"/>
  <c r="V76" i="10"/>
  <c r="V77" i="10"/>
  <c r="V78" i="10"/>
  <c r="V79" i="10"/>
  <c r="V80" i="10"/>
  <c r="V81" i="10"/>
  <c r="V82" i="10"/>
  <c r="V83" i="10"/>
  <c r="V84" i="10"/>
  <c r="V85" i="10"/>
  <c r="V86" i="10"/>
  <c r="V87" i="10"/>
  <c r="V88" i="10"/>
  <c r="V89" i="10"/>
  <c r="V90" i="10"/>
  <c r="V91" i="10"/>
  <c r="V92" i="10"/>
  <c r="V93" i="10"/>
  <c r="V94" i="10"/>
  <c r="V95" i="10"/>
  <c r="V96" i="10"/>
  <c r="V13" i="10"/>
  <c r="P93" i="9"/>
  <c r="S93" i="9" s="1"/>
  <c r="V93" i="9" s="1"/>
  <c r="Q93" i="9"/>
  <c r="R93" i="9"/>
  <c r="V167" i="9"/>
  <c r="V166" i="9"/>
  <c r="V165" i="9"/>
  <c r="V164" i="9"/>
  <c r="V163" i="9"/>
  <c r="V162" i="9"/>
  <c r="V161" i="9"/>
  <c r="V160" i="9"/>
  <c r="V159" i="9"/>
  <c r="V158" i="9"/>
  <c r="V157" i="9"/>
  <c r="V156" i="9"/>
  <c r="V155" i="9"/>
  <c r="V154" i="9"/>
  <c r="V153" i="9"/>
  <c r="V152" i="9"/>
  <c r="V151" i="9"/>
  <c r="V150" i="9"/>
  <c r="V149" i="9"/>
  <c r="V148" i="9"/>
  <c r="V147" i="9"/>
  <c r="V146" i="9"/>
  <c r="V145" i="9"/>
  <c r="V144" i="9"/>
  <c r="V143" i="9"/>
  <c r="V142" i="9"/>
  <c r="V141" i="9"/>
  <c r="V140" i="9"/>
  <c r="V139" i="9"/>
  <c r="V138" i="9"/>
  <c r="V137" i="9"/>
  <c r="V136" i="9"/>
  <c r="V135" i="9"/>
  <c r="V134" i="9"/>
  <c r="V133" i="9"/>
  <c r="V132" i="9"/>
  <c r="V131" i="9"/>
  <c r="V130" i="9"/>
  <c r="V129" i="9"/>
  <c r="V128" i="9"/>
  <c r="V127" i="9"/>
  <c r="V126" i="9"/>
  <c r="V125" i="9"/>
  <c r="V124" i="9"/>
  <c r="V123" i="9"/>
  <c r="V122" i="9"/>
  <c r="V121" i="9"/>
  <c r="V120" i="9"/>
  <c r="V119" i="9"/>
  <c r="V118" i="9"/>
  <c r="V117" i="9"/>
  <c r="V116" i="9"/>
  <c r="V115" i="9"/>
  <c r="V114" i="9"/>
  <c r="V113" i="9"/>
  <c r="V112" i="9"/>
  <c r="V111" i="9"/>
  <c r="V110" i="9"/>
  <c r="V109" i="9"/>
  <c r="V108" i="9"/>
  <c r="V107" i="9"/>
  <c r="V106" i="9"/>
  <c r="V105" i="9"/>
  <c r="V104" i="9"/>
  <c r="V103" i="9"/>
  <c r="V102" i="9"/>
  <c r="V101" i="9"/>
  <c r="V100" i="9"/>
  <c r="V99" i="9"/>
  <c r="V98" i="9"/>
  <c r="V97" i="9"/>
  <c r="V96" i="9"/>
  <c r="V95" i="9"/>
  <c r="V94" i="9"/>
  <c r="V92" i="9"/>
  <c r="V91" i="9"/>
  <c r="V90" i="9"/>
  <c r="V89" i="9"/>
  <c r="V88" i="9"/>
  <c r="V87" i="9"/>
  <c r="V86" i="9"/>
  <c r="V85" i="9"/>
  <c r="V84" i="9"/>
  <c r="V83" i="9"/>
  <c r="V82" i="9"/>
  <c r="V80" i="9"/>
  <c r="V79" i="9"/>
  <c r="V78" i="9"/>
  <c r="V77" i="9"/>
  <c r="V76" i="9"/>
  <c r="V75" i="9"/>
  <c r="V74" i="9"/>
  <c r="V73" i="9"/>
  <c r="V72" i="9"/>
  <c r="V71" i="9"/>
  <c r="V70" i="9"/>
  <c r="V69" i="9"/>
  <c r="V68" i="9"/>
  <c r="V67" i="9"/>
  <c r="V66" i="9"/>
  <c r="V65" i="9"/>
  <c r="V64" i="9"/>
  <c r="V63" i="9"/>
  <c r="V62" i="9"/>
  <c r="V61" i="9"/>
  <c r="V60" i="9"/>
  <c r="V59" i="9"/>
  <c r="V58" i="9"/>
  <c r="V57" i="9"/>
  <c r="V56" i="9"/>
  <c r="V55" i="9"/>
  <c r="V54" i="9"/>
  <c r="V53" i="9"/>
  <c r="V52" i="9"/>
  <c r="V51" i="9"/>
  <c r="V50" i="9"/>
  <c r="V49" i="9"/>
  <c r="V48" i="9"/>
  <c r="V47" i="9"/>
  <c r="V46" i="9"/>
  <c r="V45" i="9"/>
  <c r="V44" i="9"/>
  <c r="V43" i="9"/>
  <c r="V42" i="9"/>
  <c r="V41" i="9"/>
  <c r="V40" i="9"/>
  <c r="V39" i="9"/>
  <c r="V38" i="9"/>
  <c r="V37" i="9"/>
  <c r="V36" i="9"/>
  <c r="V35" i="9"/>
  <c r="V34" i="9"/>
  <c r="V33" i="9"/>
  <c r="V32" i="9"/>
  <c r="V31" i="9"/>
  <c r="V30" i="9"/>
  <c r="V29" i="9"/>
  <c r="V28" i="9"/>
  <c r="V27" i="9"/>
  <c r="V26" i="9"/>
  <c r="V25" i="9"/>
  <c r="V24" i="9"/>
  <c r="V23" i="9"/>
  <c r="V22" i="9"/>
  <c r="V21" i="9"/>
  <c r="V20" i="9"/>
  <c r="V19" i="9"/>
  <c r="V18" i="9"/>
  <c r="V17" i="9"/>
  <c r="V16" i="9"/>
  <c r="V14" i="9"/>
  <c r="V13" i="9"/>
  <c r="V15" i="9"/>
  <c r="L14" i="9"/>
  <c r="M14" i="9"/>
  <c r="N14" i="9"/>
  <c r="N167" i="9"/>
  <c r="M167" i="9"/>
  <c r="L167" i="9"/>
  <c r="N166" i="9"/>
  <c r="M166" i="9"/>
  <c r="L166" i="9"/>
  <c r="N165" i="9"/>
  <c r="M165" i="9"/>
  <c r="L165" i="9"/>
  <c r="N164" i="9"/>
  <c r="M164" i="9"/>
  <c r="L164" i="9"/>
  <c r="N163" i="9"/>
  <c r="M163" i="9"/>
  <c r="L163" i="9"/>
  <c r="N162" i="9"/>
  <c r="M162" i="9"/>
  <c r="L162" i="9"/>
  <c r="N161" i="9"/>
  <c r="M161" i="9"/>
  <c r="L161" i="9"/>
  <c r="N160" i="9"/>
  <c r="M160" i="9"/>
  <c r="L160" i="9"/>
  <c r="N159" i="9"/>
  <c r="M159" i="9"/>
  <c r="L159" i="9"/>
  <c r="N158" i="9"/>
  <c r="M158" i="9"/>
  <c r="L158" i="9"/>
  <c r="N157" i="9"/>
  <c r="M157" i="9"/>
  <c r="L157" i="9"/>
  <c r="N156" i="9"/>
  <c r="M156" i="9"/>
  <c r="L156" i="9"/>
  <c r="N155" i="9"/>
  <c r="M155" i="9"/>
  <c r="L155" i="9"/>
  <c r="N154" i="9"/>
  <c r="M154" i="9"/>
  <c r="L154" i="9"/>
  <c r="N153" i="9"/>
  <c r="M153" i="9"/>
  <c r="L153" i="9"/>
  <c r="N152" i="9"/>
  <c r="M152" i="9"/>
  <c r="L152" i="9"/>
  <c r="N151" i="9"/>
  <c r="M151" i="9"/>
  <c r="L151" i="9"/>
  <c r="N150" i="9"/>
  <c r="M150" i="9"/>
  <c r="L150" i="9"/>
  <c r="N149" i="9"/>
  <c r="M149" i="9"/>
  <c r="L149" i="9"/>
  <c r="N148" i="9"/>
  <c r="M148" i="9"/>
  <c r="L148" i="9"/>
  <c r="N147" i="9"/>
  <c r="M147" i="9"/>
  <c r="L147" i="9"/>
  <c r="N146" i="9"/>
  <c r="M146" i="9"/>
  <c r="L146" i="9"/>
  <c r="N145" i="9"/>
  <c r="M145" i="9"/>
  <c r="L145" i="9"/>
  <c r="N144" i="9"/>
  <c r="M144" i="9"/>
  <c r="L144" i="9"/>
  <c r="N143" i="9"/>
  <c r="M143" i="9"/>
  <c r="L143" i="9"/>
  <c r="N142" i="9"/>
  <c r="M142" i="9"/>
  <c r="L142" i="9"/>
  <c r="N141" i="9"/>
  <c r="M141" i="9"/>
  <c r="L141" i="9"/>
  <c r="N140" i="9"/>
  <c r="M140" i="9"/>
  <c r="L140" i="9"/>
  <c r="N139" i="9"/>
  <c r="M139" i="9"/>
  <c r="L139" i="9"/>
  <c r="N138" i="9"/>
  <c r="M138" i="9"/>
  <c r="L138" i="9"/>
  <c r="N137" i="9"/>
  <c r="M137" i="9"/>
  <c r="L137" i="9"/>
  <c r="N136" i="9"/>
  <c r="M136" i="9"/>
  <c r="L136" i="9"/>
  <c r="N135" i="9"/>
  <c r="M135" i="9"/>
  <c r="L135" i="9"/>
  <c r="N134" i="9"/>
  <c r="M134" i="9"/>
  <c r="L134" i="9"/>
  <c r="N133" i="9"/>
  <c r="M133" i="9"/>
  <c r="L133" i="9"/>
  <c r="N132" i="9"/>
  <c r="M132" i="9"/>
  <c r="L132" i="9"/>
  <c r="N131" i="9"/>
  <c r="M131" i="9"/>
  <c r="L131" i="9"/>
  <c r="N130" i="9"/>
  <c r="M130" i="9"/>
  <c r="L130" i="9"/>
  <c r="N129" i="9"/>
  <c r="M129" i="9"/>
  <c r="L129" i="9"/>
  <c r="N128" i="9"/>
  <c r="M128" i="9"/>
  <c r="L128" i="9"/>
  <c r="N127" i="9"/>
  <c r="M127" i="9"/>
  <c r="L127" i="9"/>
  <c r="N126" i="9"/>
  <c r="M126" i="9"/>
  <c r="L126" i="9"/>
  <c r="N125" i="9"/>
  <c r="M125" i="9"/>
  <c r="L125" i="9"/>
  <c r="N124" i="9"/>
  <c r="M124" i="9"/>
  <c r="L124" i="9"/>
  <c r="N123" i="9"/>
  <c r="M123" i="9"/>
  <c r="L123" i="9"/>
  <c r="N122" i="9"/>
  <c r="M122" i="9"/>
  <c r="L122" i="9"/>
  <c r="N121" i="9"/>
  <c r="M121" i="9"/>
  <c r="L121" i="9"/>
  <c r="N120" i="9"/>
  <c r="M120" i="9"/>
  <c r="L120" i="9"/>
  <c r="N119" i="9"/>
  <c r="M119" i="9"/>
  <c r="L119" i="9"/>
  <c r="N118" i="9"/>
  <c r="M118" i="9"/>
  <c r="L118" i="9"/>
  <c r="N117" i="9"/>
  <c r="M117" i="9"/>
  <c r="L117" i="9"/>
  <c r="N116" i="9"/>
  <c r="M116" i="9"/>
  <c r="L116" i="9"/>
  <c r="N115" i="9"/>
  <c r="M115" i="9"/>
  <c r="L115" i="9"/>
  <c r="N114" i="9"/>
  <c r="M114" i="9"/>
  <c r="L114" i="9"/>
  <c r="N113" i="9"/>
  <c r="M113" i="9"/>
  <c r="L113" i="9"/>
  <c r="N112" i="9"/>
  <c r="M112" i="9"/>
  <c r="L112" i="9"/>
  <c r="N111" i="9"/>
  <c r="M111" i="9"/>
  <c r="L111" i="9"/>
  <c r="N110" i="9"/>
  <c r="M110" i="9"/>
  <c r="L110" i="9"/>
  <c r="N109" i="9"/>
  <c r="M109" i="9"/>
  <c r="L109" i="9"/>
  <c r="N108" i="9"/>
  <c r="M108" i="9"/>
  <c r="L108" i="9"/>
  <c r="N107" i="9"/>
  <c r="M107" i="9"/>
  <c r="L107" i="9"/>
  <c r="N106" i="9"/>
  <c r="M106" i="9"/>
  <c r="L106" i="9"/>
  <c r="N105" i="9"/>
  <c r="M105" i="9"/>
  <c r="L105" i="9"/>
  <c r="N104" i="9"/>
  <c r="M104" i="9"/>
  <c r="L104" i="9"/>
  <c r="N103" i="9"/>
  <c r="M103" i="9"/>
  <c r="L103" i="9"/>
  <c r="N102" i="9"/>
  <c r="M102" i="9"/>
  <c r="L102" i="9"/>
  <c r="N101" i="9"/>
  <c r="M101" i="9"/>
  <c r="L101" i="9"/>
  <c r="N100" i="9"/>
  <c r="M100" i="9"/>
  <c r="L100" i="9"/>
  <c r="N99" i="9"/>
  <c r="M99" i="9"/>
  <c r="L99" i="9"/>
  <c r="N98" i="9"/>
  <c r="M98" i="9"/>
  <c r="L98" i="9"/>
  <c r="N97" i="9"/>
  <c r="M97" i="9"/>
  <c r="L97" i="9"/>
  <c r="N96" i="9"/>
  <c r="M96" i="9"/>
  <c r="L96" i="9"/>
  <c r="N95" i="9"/>
  <c r="M95" i="9"/>
  <c r="L95" i="9"/>
  <c r="N94" i="9"/>
  <c r="M94" i="9"/>
  <c r="L94" i="9"/>
  <c r="N93" i="9"/>
  <c r="M93" i="9"/>
  <c r="L93" i="9"/>
  <c r="N92" i="9"/>
  <c r="M92" i="9"/>
  <c r="L92" i="9"/>
  <c r="N91" i="9"/>
  <c r="M91" i="9"/>
  <c r="L91" i="9"/>
  <c r="N90" i="9"/>
  <c r="M90" i="9"/>
  <c r="L90" i="9"/>
  <c r="N89" i="9"/>
  <c r="M89" i="9"/>
  <c r="L89" i="9"/>
  <c r="N88" i="9"/>
  <c r="M88" i="9"/>
  <c r="L88" i="9"/>
  <c r="N87" i="9"/>
  <c r="M87" i="9"/>
  <c r="L87" i="9"/>
  <c r="N86" i="9"/>
  <c r="M86" i="9"/>
  <c r="L86" i="9"/>
  <c r="N85" i="9"/>
  <c r="M85" i="9"/>
  <c r="L85" i="9"/>
  <c r="N84" i="9"/>
  <c r="M84" i="9"/>
  <c r="L84" i="9"/>
  <c r="N83" i="9"/>
  <c r="M83" i="9"/>
  <c r="L83" i="9"/>
  <c r="N82" i="9"/>
  <c r="M82" i="9"/>
  <c r="L82" i="9"/>
  <c r="N80" i="9"/>
  <c r="M80" i="9"/>
  <c r="L80" i="9"/>
  <c r="N79" i="9"/>
  <c r="M79" i="9"/>
  <c r="L79" i="9"/>
  <c r="N78" i="9"/>
  <c r="M78" i="9"/>
  <c r="L78" i="9"/>
  <c r="N77" i="9"/>
  <c r="M77" i="9"/>
  <c r="L77" i="9"/>
  <c r="N76" i="9"/>
  <c r="M76" i="9"/>
  <c r="L76" i="9"/>
  <c r="N75" i="9"/>
  <c r="M75" i="9"/>
  <c r="L75" i="9"/>
  <c r="N74" i="9"/>
  <c r="M74" i="9"/>
  <c r="L74" i="9"/>
  <c r="N73" i="9"/>
  <c r="M73" i="9"/>
  <c r="L73" i="9"/>
  <c r="N72" i="9"/>
  <c r="M72" i="9"/>
  <c r="L72" i="9"/>
  <c r="N71" i="9"/>
  <c r="M71" i="9"/>
  <c r="L71" i="9"/>
  <c r="N70" i="9"/>
  <c r="M70" i="9"/>
  <c r="L70" i="9"/>
  <c r="N69" i="9"/>
  <c r="M69" i="9"/>
  <c r="L69" i="9"/>
  <c r="N68" i="9"/>
  <c r="M68" i="9"/>
  <c r="L68" i="9"/>
  <c r="N67" i="9"/>
  <c r="M67" i="9"/>
  <c r="L67" i="9"/>
  <c r="N66" i="9"/>
  <c r="M66" i="9"/>
  <c r="L66" i="9"/>
  <c r="N65" i="9"/>
  <c r="M65" i="9"/>
  <c r="L65" i="9"/>
  <c r="N64" i="9"/>
  <c r="M64" i="9"/>
  <c r="L64" i="9"/>
  <c r="N63" i="9"/>
  <c r="M63" i="9"/>
  <c r="L63" i="9"/>
  <c r="N62" i="9"/>
  <c r="M62" i="9"/>
  <c r="L62" i="9"/>
  <c r="N61" i="9"/>
  <c r="M61" i="9"/>
  <c r="L61" i="9"/>
  <c r="N60" i="9"/>
  <c r="M60" i="9"/>
  <c r="L60" i="9"/>
  <c r="N59" i="9"/>
  <c r="M59" i="9"/>
  <c r="L59" i="9"/>
  <c r="N58" i="9"/>
  <c r="M58" i="9"/>
  <c r="L58" i="9"/>
  <c r="N57" i="9"/>
  <c r="M57" i="9"/>
  <c r="L57" i="9"/>
  <c r="N56" i="9"/>
  <c r="M56" i="9"/>
  <c r="L56" i="9"/>
  <c r="N55" i="9"/>
  <c r="M55" i="9"/>
  <c r="L55" i="9"/>
  <c r="N54" i="9"/>
  <c r="M54" i="9"/>
  <c r="L54" i="9"/>
  <c r="N53" i="9"/>
  <c r="M53" i="9"/>
  <c r="L53" i="9"/>
  <c r="N52" i="9"/>
  <c r="M52" i="9"/>
  <c r="L52" i="9"/>
  <c r="N51" i="9"/>
  <c r="M51" i="9"/>
  <c r="L51" i="9"/>
  <c r="N50" i="9"/>
  <c r="M50" i="9"/>
  <c r="L50" i="9"/>
  <c r="N49" i="9"/>
  <c r="M49" i="9"/>
  <c r="L49" i="9"/>
  <c r="N48" i="9"/>
  <c r="M48" i="9"/>
  <c r="L48" i="9"/>
  <c r="N47" i="9"/>
  <c r="M47" i="9"/>
  <c r="L47" i="9"/>
  <c r="N46" i="9"/>
  <c r="M46" i="9"/>
  <c r="L46" i="9"/>
  <c r="N45" i="9"/>
  <c r="M45" i="9"/>
  <c r="L45" i="9"/>
  <c r="N44" i="9"/>
  <c r="M44" i="9"/>
  <c r="L44" i="9"/>
  <c r="N43" i="9"/>
  <c r="M43" i="9"/>
  <c r="L43" i="9"/>
  <c r="N42" i="9"/>
  <c r="M42" i="9"/>
  <c r="L42" i="9"/>
  <c r="N41" i="9"/>
  <c r="M41" i="9"/>
  <c r="L41" i="9"/>
  <c r="N40" i="9"/>
  <c r="M40" i="9"/>
  <c r="L40" i="9"/>
  <c r="N39" i="9"/>
  <c r="M39" i="9"/>
  <c r="L39" i="9"/>
  <c r="N38" i="9"/>
  <c r="M38" i="9"/>
  <c r="L38" i="9"/>
  <c r="N37" i="9"/>
  <c r="M37" i="9"/>
  <c r="L37" i="9"/>
  <c r="N36" i="9"/>
  <c r="M36" i="9"/>
  <c r="L36" i="9"/>
  <c r="N35" i="9"/>
  <c r="M35" i="9"/>
  <c r="L35" i="9"/>
  <c r="N34" i="9"/>
  <c r="M34" i="9"/>
  <c r="L34" i="9"/>
  <c r="N33" i="9"/>
  <c r="M33" i="9"/>
  <c r="L33" i="9"/>
  <c r="N32" i="9"/>
  <c r="M32" i="9"/>
  <c r="L32" i="9"/>
  <c r="N31" i="9"/>
  <c r="M31" i="9"/>
  <c r="L31" i="9"/>
  <c r="N30" i="9"/>
  <c r="M30" i="9"/>
  <c r="L30" i="9"/>
  <c r="N29" i="9"/>
  <c r="M29" i="9"/>
  <c r="L29" i="9"/>
  <c r="N28" i="9"/>
  <c r="M28" i="9"/>
  <c r="L28" i="9"/>
  <c r="N27" i="9"/>
  <c r="M27" i="9"/>
  <c r="L27" i="9"/>
  <c r="N26" i="9"/>
  <c r="M26" i="9"/>
  <c r="L26" i="9"/>
  <c r="N25" i="9"/>
  <c r="M25" i="9"/>
  <c r="L25" i="9"/>
  <c r="N24" i="9"/>
  <c r="M24" i="9"/>
  <c r="L24" i="9"/>
  <c r="N23" i="9"/>
  <c r="M23" i="9"/>
  <c r="L23" i="9"/>
  <c r="N22" i="9"/>
  <c r="M22" i="9"/>
  <c r="L22" i="9"/>
  <c r="N21" i="9"/>
  <c r="M21" i="9"/>
  <c r="L21" i="9"/>
  <c r="N20" i="9"/>
  <c r="M20" i="9"/>
  <c r="L20" i="9"/>
  <c r="N19" i="9"/>
  <c r="M19" i="9"/>
  <c r="L19" i="9"/>
  <c r="N18" i="9"/>
  <c r="M18" i="9"/>
  <c r="L18" i="9"/>
  <c r="N17" i="9"/>
  <c r="M17" i="9"/>
  <c r="L17" i="9"/>
  <c r="N16" i="9"/>
  <c r="M16" i="9"/>
  <c r="L16" i="9"/>
  <c r="N15" i="9"/>
  <c r="M15" i="9"/>
  <c r="L15" i="9"/>
  <c r="N13" i="9"/>
  <c r="M13" i="9"/>
  <c r="L13" i="9"/>
  <c r="Q8" i="10"/>
  <c r="R8" i="10"/>
  <c r="R10" i="5" s="1"/>
  <c r="P8" i="10"/>
  <c r="Q10" i="5"/>
  <c r="P15" i="10"/>
  <c r="N96" i="10"/>
  <c r="M96" i="10"/>
  <c r="L96" i="10"/>
  <c r="N95" i="10"/>
  <c r="M95" i="10"/>
  <c r="L95" i="10"/>
  <c r="N94" i="10"/>
  <c r="M94" i="10"/>
  <c r="L94" i="10"/>
  <c r="N93" i="10"/>
  <c r="M93" i="10"/>
  <c r="L93" i="10"/>
  <c r="N92" i="10"/>
  <c r="M92" i="10"/>
  <c r="L92" i="10"/>
  <c r="N91" i="10"/>
  <c r="M91" i="10"/>
  <c r="L91" i="10"/>
  <c r="N90" i="10"/>
  <c r="M90" i="10"/>
  <c r="L90" i="10"/>
  <c r="N89" i="10"/>
  <c r="M89" i="10"/>
  <c r="L89" i="10"/>
  <c r="N88" i="10"/>
  <c r="M88" i="10"/>
  <c r="L88" i="10"/>
  <c r="N87" i="10"/>
  <c r="M87" i="10"/>
  <c r="L87" i="10"/>
  <c r="N86" i="10"/>
  <c r="M86" i="10"/>
  <c r="L86" i="10"/>
  <c r="N85" i="10"/>
  <c r="M85" i="10"/>
  <c r="L85" i="10"/>
  <c r="N84" i="10"/>
  <c r="M84" i="10"/>
  <c r="L84" i="10"/>
  <c r="N83" i="10"/>
  <c r="M83" i="10"/>
  <c r="L83" i="10"/>
  <c r="N82" i="10"/>
  <c r="M82" i="10"/>
  <c r="L82" i="10"/>
  <c r="N81" i="10"/>
  <c r="M81" i="10"/>
  <c r="L81" i="10"/>
  <c r="N80" i="10"/>
  <c r="M80" i="10"/>
  <c r="L80" i="10"/>
  <c r="N79" i="10"/>
  <c r="M79" i="10"/>
  <c r="L79" i="10"/>
  <c r="N78" i="10"/>
  <c r="M78" i="10"/>
  <c r="L78" i="10"/>
  <c r="N77" i="10"/>
  <c r="M77" i="10"/>
  <c r="L77" i="10"/>
  <c r="N76" i="10"/>
  <c r="M76" i="10"/>
  <c r="L76" i="10"/>
  <c r="N75" i="10"/>
  <c r="M75" i="10"/>
  <c r="L75" i="10"/>
  <c r="N74" i="10"/>
  <c r="M74" i="10"/>
  <c r="L74" i="10"/>
  <c r="N73" i="10"/>
  <c r="M73" i="10"/>
  <c r="L73" i="10"/>
  <c r="N72" i="10"/>
  <c r="M72" i="10"/>
  <c r="L72" i="10"/>
  <c r="N71" i="10"/>
  <c r="M71" i="10"/>
  <c r="L71" i="10"/>
  <c r="N70" i="10"/>
  <c r="M70" i="10"/>
  <c r="L70" i="10"/>
  <c r="N69" i="10"/>
  <c r="M69" i="10"/>
  <c r="L69" i="10"/>
  <c r="N68" i="10"/>
  <c r="M68" i="10"/>
  <c r="L68" i="10"/>
  <c r="N67" i="10"/>
  <c r="M67" i="10"/>
  <c r="L67" i="10"/>
  <c r="N66" i="10"/>
  <c r="M66" i="10"/>
  <c r="L66" i="10"/>
  <c r="N65" i="10"/>
  <c r="M65" i="10"/>
  <c r="L65" i="10"/>
  <c r="N64" i="10"/>
  <c r="M64" i="10"/>
  <c r="L64" i="10"/>
  <c r="N63" i="10"/>
  <c r="M63" i="10"/>
  <c r="L63" i="10"/>
  <c r="N62" i="10"/>
  <c r="M62" i="10"/>
  <c r="L62" i="10"/>
  <c r="N61" i="10"/>
  <c r="M61" i="10"/>
  <c r="L61" i="10"/>
  <c r="N60" i="10"/>
  <c r="M60" i="10"/>
  <c r="L60" i="10"/>
  <c r="N59" i="10"/>
  <c r="M59" i="10"/>
  <c r="L59" i="10"/>
  <c r="N58" i="10"/>
  <c r="M58" i="10"/>
  <c r="L58" i="10"/>
  <c r="N57" i="10"/>
  <c r="M57" i="10"/>
  <c r="L57" i="10"/>
  <c r="N56" i="10"/>
  <c r="M56" i="10"/>
  <c r="L56" i="10"/>
  <c r="N55" i="10"/>
  <c r="M55" i="10"/>
  <c r="L55" i="10"/>
  <c r="N54" i="10"/>
  <c r="M54" i="10"/>
  <c r="L54" i="10"/>
  <c r="N53" i="10"/>
  <c r="M53" i="10"/>
  <c r="L53" i="10"/>
  <c r="N52" i="10"/>
  <c r="M52" i="10"/>
  <c r="L52" i="10"/>
  <c r="N51" i="10"/>
  <c r="M51" i="10"/>
  <c r="L51" i="10"/>
  <c r="N50" i="10"/>
  <c r="M50" i="10"/>
  <c r="L50" i="10"/>
  <c r="N49" i="10"/>
  <c r="M49" i="10"/>
  <c r="L49" i="10"/>
  <c r="N48" i="10"/>
  <c r="M48" i="10"/>
  <c r="L48" i="10"/>
  <c r="N47" i="10"/>
  <c r="M47" i="10"/>
  <c r="L47" i="10"/>
  <c r="N46" i="10"/>
  <c r="M46" i="10"/>
  <c r="L46" i="10"/>
  <c r="N45" i="10"/>
  <c r="M45" i="10"/>
  <c r="L45" i="10"/>
  <c r="N44" i="10"/>
  <c r="M44" i="10"/>
  <c r="L44" i="10"/>
  <c r="N43" i="10"/>
  <c r="M43" i="10"/>
  <c r="L43" i="10"/>
  <c r="N42" i="10"/>
  <c r="M42" i="10"/>
  <c r="L42" i="10"/>
  <c r="N41" i="10"/>
  <c r="M41" i="10"/>
  <c r="L41" i="10"/>
  <c r="N40" i="10"/>
  <c r="M40" i="10"/>
  <c r="L40" i="10"/>
  <c r="N39" i="10"/>
  <c r="M39" i="10"/>
  <c r="L39" i="10"/>
  <c r="N38" i="10"/>
  <c r="M38" i="10"/>
  <c r="L38" i="10"/>
  <c r="N37" i="10"/>
  <c r="M37" i="10"/>
  <c r="L37" i="10"/>
  <c r="N36" i="10"/>
  <c r="M36" i="10"/>
  <c r="L36" i="10"/>
  <c r="N35" i="10"/>
  <c r="M35" i="10"/>
  <c r="L35" i="10"/>
  <c r="N34" i="10"/>
  <c r="M34" i="10"/>
  <c r="L34" i="10"/>
  <c r="N33" i="10"/>
  <c r="M33" i="10"/>
  <c r="L33" i="10"/>
  <c r="N32" i="10"/>
  <c r="M32" i="10"/>
  <c r="L32" i="10"/>
  <c r="N31" i="10"/>
  <c r="M31" i="10"/>
  <c r="L31" i="10"/>
  <c r="N30" i="10"/>
  <c r="M30" i="10"/>
  <c r="L30" i="10"/>
  <c r="N29" i="10"/>
  <c r="M29" i="10"/>
  <c r="L29" i="10"/>
  <c r="N28" i="10"/>
  <c r="M28" i="10"/>
  <c r="L28" i="10"/>
  <c r="N27" i="10"/>
  <c r="M27" i="10"/>
  <c r="L27" i="10"/>
  <c r="N26" i="10"/>
  <c r="M26" i="10"/>
  <c r="L26" i="10"/>
  <c r="N25" i="10"/>
  <c r="M25" i="10"/>
  <c r="L25" i="10"/>
  <c r="N24" i="10"/>
  <c r="M24" i="10"/>
  <c r="L24" i="10"/>
  <c r="N23" i="10"/>
  <c r="M23" i="10"/>
  <c r="L23" i="10"/>
  <c r="N22" i="10"/>
  <c r="M22" i="10"/>
  <c r="L22" i="10"/>
  <c r="N21" i="10"/>
  <c r="M21" i="10"/>
  <c r="L21" i="10"/>
  <c r="N20" i="10"/>
  <c r="M20" i="10"/>
  <c r="L20" i="10"/>
  <c r="N19" i="10"/>
  <c r="M19" i="10"/>
  <c r="L19" i="10"/>
  <c r="N18" i="10"/>
  <c r="M18" i="10"/>
  <c r="L18" i="10"/>
  <c r="N17" i="10"/>
  <c r="M17" i="10"/>
  <c r="L17" i="10"/>
  <c r="N16" i="10"/>
  <c r="M16" i="10"/>
  <c r="L16" i="10"/>
  <c r="N15" i="10"/>
  <c r="M15" i="10"/>
  <c r="L15" i="10"/>
  <c r="N14" i="10"/>
  <c r="M14" i="10"/>
  <c r="L14" i="10"/>
  <c r="N13" i="10"/>
  <c r="M13" i="10"/>
  <c r="L13" i="10"/>
  <c r="N36" i="11"/>
  <c r="M36" i="11"/>
  <c r="L36" i="11"/>
  <c r="N35" i="11"/>
  <c r="M35" i="11"/>
  <c r="L35" i="11"/>
  <c r="N34" i="11"/>
  <c r="M34" i="11"/>
  <c r="L34" i="11"/>
  <c r="N33" i="11"/>
  <c r="M33" i="11"/>
  <c r="L33" i="11"/>
  <c r="N32" i="11"/>
  <c r="M32" i="11"/>
  <c r="L32" i="11"/>
  <c r="N31" i="11"/>
  <c r="M31" i="11"/>
  <c r="L31" i="11"/>
  <c r="N29" i="11"/>
  <c r="M29" i="11"/>
  <c r="L29" i="11"/>
  <c r="N28" i="11"/>
  <c r="M28" i="11"/>
  <c r="L28" i="11"/>
  <c r="N27" i="11"/>
  <c r="M27" i="11"/>
  <c r="L27" i="11"/>
  <c r="N18" i="11"/>
  <c r="M18" i="11"/>
  <c r="L18" i="11"/>
  <c r="N16" i="11"/>
  <c r="M16" i="11"/>
  <c r="L16" i="11"/>
  <c r="N15" i="11"/>
  <c r="M15" i="11"/>
  <c r="L15" i="11"/>
  <c r="N14" i="11"/>
  <c r="M14" i="11"/>
  <c r="L14" i="11"/>
  <c r="N13" i="11"/>
  <c r="M13" i="11"/>
  <c r="L13" i="11"/>
  <c r="N12" i="11"/>
  <c r="M12" i="11"/>
  <c r="L12" i="11"/>
  <c r="N11" i="11"/>
  <c r="M11" i="11"/>
  <c r="L11" i="11"/>
  <c r="N10" i="11"/>
  <c r="M10" i="11"/>
  <c r="L10" i="11"/>
  <c r="J144" i="16"/>
  <c r="I144" i="16"/>
  <c r="H144" i="16"/>
  <c r="F144" i="16"/>
  <c r="E144" i="16"/>
  <c r="D144" i="16"/>
  <c r="C144" i="16"/>
  <c r="T133" i="15"/>
  <c r="T131" i="15"/>
  <c r="T130" i="15"/>
  <c r="T129" i="15"/>
  <c r="T128" i="15"/>
  <c r="T127" i="15"/>
  <c r="T126" i="15"/>
  <c r="T125" i="15"/>
  <c r="T121" i="15"/>
  <c r="T119" i="15"/>
  <c r="T118" i="15"/>
  <c r="T117" i="15"/>
  <c r="T116" i="15"/>
  <c r="T115" i="15"/>
  <c r="T114" i="15"/>
  <c r="T113" i="15"/>
  <c r="T107" i="15"/>
  <c r="T106" i="15"/>
  <c r="T105" i="15"/>
  <c r="T104" i="15"/>
  <c r="T103" i="15"/>
  <c r="T102" i="15"/>
  <c r="T101" i="15"/>
  <c r="T89" i="15"/>
  <c r="T85" i="15"/>
  <c r="T83" i="15"/>
  <c r="T82" i="15"/>
  <c r="T81" i="15"/>
  <c r="T80" i="15"/>
  <c r="T79" i="15"/>
  <c r="T78" i="15"/>
  <c r="T77" i="15"/>
  <c r="T71" i="15"/>
  <c r="T70" i="15"/>
  <c r="T69" i="15"/>
  <c r="T68" i="15"/>
  <c r="T67" i="15"/>
  <c r="T66" i="15"/>
  <c r="T53" i="15"/>
  <c r="T41" i="15"/>
  <c r="T29" i="15"/>
  <c r="T106" i="16"/>
  <c r="T105" i="16"/>
  <c r="T104" i="16"/>
  <c r="T103" i="16"/>
  <c r="T102" i="16"/>
  <c r="T101" i="16"/>
  <c r="T94" i="16"/>
  <c r="T93" i="16"/>
  <c r="T92" i="16"/>
  <c r="T91" i="16"/>
  <c r="T90" i="16"/>
  <c r="T89" i="16"/>
  <c r="T82" i="16"/>
  <c r="T81" i="16"/>
  <c r="T80" i="16"/>
  <c r="T79" i="16"/>
  <c r="T78" i="16"/>
  <c r="T77" i="16"/>
  <c r="T58" i="16"/>
  <c r="T57" i="16"/>
  <c r="T56" i="16"/>
  <c r="T55" i="16"/>
  <c r="T54" i="16"/>
  <c r="T53" i="16"/>
  <c r="T46" i="16"/>
  <c r="T45" i="16"/>
  <c r="T44" i="16"/>
  <c r="T43" i="16"/>
  <c r="T42" i="16"/>
  <c r="T41" i="16"/>
  <c r="T197" i="17"/>
  <c r="T192" i="17"/>
  <c r="T191" i="17"/>
  <c r="T190" i="17"/>
  <c r="T188" i="17"/>
  <c r="T187" i="17"/>
  <c r="T186" i="17"/>
  <c r="T183" i="17"/>
  <c r="T182" i="17"/>
  <c r="T181" i="17"/>
  <c r="T179" i="17"/>
  <c r="T178" i="17"/>
  <c r="T170" i="17"/>
  <c r="T165" i="17"/>
  <c r="T164" i="17"/>
  <c r="T163" i="17"/>
  <c r="T161" i="17"/>
  <c r="T160" i="17"/>
  <c r="T159" i="17"/>
  <c r="T156" i="17"/>
  <c r="T155" i="17"/>
  <c r="T154" i="17"/>
  <c r="T152" i="17"/>
  <c r="T151" i="17"/>
  <c r="T143" i="17"/>
  <c r="T138" i="17"/>
  <c r="T137" i="17"/>
  <c r="T136" i="17"/>
  <c r="T134" i="17"/>
  <c r="T133" i="17"/>
  <c r="T132" i="17"/>
  <c r="T129" i="17"/>
  <c r="T128" i="17"/>
  <c r="T127" i="17"/>
  <c r="T125" i="17"/>
  <c r="T124" i="17"/>
  <c r="T116" i="17"/>
  <c r="T111" i="17"/>
  <c r="T110" i="17"/>
  <c r="T109" i="17"/>
  <c r="T107" i="17"/>
  <c r="T106" i="17"/>
  <c r="T105" i="17"/>
  <c r="T102" i="17"/>
  <c r="T101" i="17"/>
  <c r="T100" i="17"/>
  <c r="T98" i="17"/>
  <c r="T97" i="17"/>
  <c r="T89" i="17"/>
  <c r="T84" i="17"/>
  <c r="T83" i="17"/>
  <c r="T82" i="17"/>
  <c r="T81" i="17"/>
  <c r="T80" i="17"/>
  <c r="T79" i="17"/>
  <c r="T78" i="17"/>
  <c r="T75" i="17"/>
  <c r="T74" i="17"/>
  <c r="T73" i="17"/>
  <c r="T71" i="17"/>
  <c r="T70" i="17"/>
  <c r="T62" i="17"/>
  <c r="T57" i="17"/>
  <c r="T56" i="17"/>
  <c r="T55" i="17"/>
  <c r="T53" i="17"/>
  <c r="T52" i="17"/>
  <c r="T51" i="17"/>
  <c r="T48" i="17"/>
  <c r="T47" i="17"/>
  <c r="T46" i="17"/>
  <c r="T44" i="17"/>
  <c r="T43" i="17"/>
  <c r="T32" i="17"/>
  <c r="T30" i="17"/>
  <c r="T29" i="17"/>
  <c r="T21" i="17"/>
  <c r="T20" i="17"/>
  <c r="T19" i="17"/>
  <c r="T18" i="17"/>
  <c r="T17" i="17"/>
  <c r="T15" i="17"/>
  <c r="T14" i="17"/>
  <c r="T13" i="17"/>
  <c r="N197" i="17"/>
  <c r="M197" i="17"/>
  <c r="L197" i="17"/>
  <c r="N195" i="17"/>
  <c r="M195" i="17"/>
  <c r="L195" i="17"/>
  <c r="N194" i="17"/>
  <c r="M194" i="17"/>
  <c r="L194" i="17"/>
  <c r="N193" i="17"/>
  <c r="M193" i="17"/>
  <c r="L193" i="17"/>
  <c r="N192" i="17"/>
  <c r="M192" i="17"/>
  <c r="L192" i="17"/>
  <c r="N191" i="17"/>
  <c r="M191" i="17"/>
  <c r="L191" i="17"/>
  <c r="N190" i="17"/>
  <c r="M190" i="17"/>
  <c r="L190" i="17"/>
  <c r="N189" i="17"/>
  <c r="M189" i="17"/>
  <c r="L189" i="17"/>
  <c r="N188" i="17"/>
  <c r="M188" i="17"/>
  <c r="L188" i="17"/>
  <c r="N187" i="17"/>
  <c r="M187" i="17"/>
  <c r="L187" i="17"/>
  <c r="N186" i="17"/>
  <c r="M186" i="17"/>
  <c r="L186" i="17"/>
  <c r="N184" i="17"/>
  <c r="M184" i="17"/>
  <c r="L184" i="17"/>
  <c r="N183" i="17"/>
  <c r="M183" i="17"/>
  <c r="L183" i="17"/>
  <c r="N182" i="17"/>
  <c r="M182" i="17"/>
  <c r="L182" i="17"/>
  <c r="N181" i="17"/>
  <c r="M181" i="17"/>
  <c r="L181" i="17"/>
  <c r="N180" i="17"/>
  <c r="M180" i="17"/>
  <c r="L180" i="17"/>
  <c r="N179" i="17"/>
  <c r="M179" i="17"/>
  <c r="L179" i="17"/>
  <c r="N178" i="17"/>
  <c r="M178" i="17"/>
  <c r="L178" i="17"/>
  <c r="N177" i="17"/>
  <c r="M177" i="17"/>
  <c r="L177" i="17"/>
  <c r="N176" i="17"/>
  <c r="M176" i="17"/>
  <c r="L176" i="17"/>
  <c r="N175" i="17"/>
  <c r="M175" i="17"/>
  <c r="L175" i="17"/>
  <c r="N170" i="17"/>
  <c r="M170" i="17"/>
  <c r="L170" i="17"/>
  <c r="N168" i="17"/>
  <c r="M168" i="17"/>
  <c r="L168" i="17"/>
  <c r="N167" i="17"/>
  <c r="M167" i="17"/>
  <c r="L167" i="17"/>
  <c r="N166" i="17"/>
  <c r="M166" i="17"/>
  <c r="L166" i="17"/>
  <c r="N165" i="17"/>
  <c r="M165" i="17"/>
  <c r="L165" i="17"/>
  <c r="N164" i="17"/>
  <c r="M164" i="17"/>
  <c r="L164" i="17"/>
  <c r="N163" i="17"/>
  <c r="M163" i="17"/>
  <c r="L163" i="17"/>
  <c r="N162" i="17"/>
  <c r="M162" i="17"/>
  <c r="L162" i="17"/>
  <c r="N161" i="17"/>
  <c r="M161" i="17"/>
  <c r="L161" i="17"/>
  <c r="N160" i="17"/>
  <c r="M160" i="17"/>
  <c r="L160" i="17"/>
  <c r="N159" i="17"/>
  <c r="M159" i="17"/>
  <c r="L159" i="17"/>
  <c r="N157" i="17"/>
  <c r="M157" i="17"/>
  <c r="L157" i="17"/>
  <c r="N156" i="17"/>
  <c r="M156" i="17"/>
  <c r="L156" i="17"/>
  <c r="N155" i="17"/>
  <c r="M155" i="17"/>
  <c r="L155" i="17"/>
  <c r="N154" i="17"/>
  <c r="M154" i="17"/>
  <c r="L154" i="17"/>
  <c r="N153" i="17"/>
  <c r="M153" i="17"/>
  <c r="L153" i="17"/>
  <c r="N152" i="17"/>
  <c r="M152" i="17"/>
  <c r="L152" i="17"/>
  <c r="N151" i="17"/>
  <c r="M151" i="17"/>
  <c r="L151" i="17"/>
  <c r="N150" i="17"/>
  <c r="M150" i="17"/>
  <c r="L150" i="17"/>
  <c r="N149" i="17"/>
  <c r="M149" i="17"/>
  <c r="L149" i="17"/>
  <c r="N148" i="17"/>
  <c r="M148" i="17"/>
  <c r="L148" i="17"/>
  <c r="N143" i="17"/>
  <c r="M143" i="17"/>
  <c r="L143" i="17"/>
  <c r="N141" i="17"/>
  <c r="M141" i="17"/>
  <c r="L141" i="17"/>
  <c r="N140" i="17"/>
  <c r="M140" i="17"/>
  <c r="L140" i="17"/>
  <c r="N139" i="17"/>
  <c r="M139" i="17"/>
  <c r="L139" i="17"/>
  <c r="N138" i="17"/>
  <c r="M138" i="17"/>
  <c r="L138" i="17"/>
  <c r="N137" i="17"/>
  <c r="M137" i="17"/>
  <c r="L137" i="17"/>
  <c r="N136" i="17"/>
  <c r="M136" i="17"/>
  <c r="L136" i="17"/>
  <c r="N135" i="17"/>
  <c r="M135" i="17"/>
  <c r="L135" i="17"/>
  <c r="N134" i="17"/>
  <c r="M134" i="17"/>
  <c r="L134" i="17"/>
  <c r="N133" i="17"/>
  <c r="M133" i="17"/>
  <c r="L133" i="17"/>
  <c r="N132" i="17"/>
  <c r="M132" i="17"/>
  <c r="L132" i="17"/>
  <c r="N130" i="17"/>
  <c r="M130" i="17"/>
  <c r="L130" i="17"/>
  <c r="N129" i="17"/>
  <c r="M129" i="17"/>
  <c r="L129" i="17"/>
  <c r="N128" i="17"/>
  <c r="M128" i="17"/>
  <c r="L128" i="17"/>
  <c r="N127" i="17"/>
  <c r="M127" i="17"/>
  <c r="L127" i="17"/>
  <c r="N126" i="17"/>
  <c r="M126" i="17"/>
  <c r="L126" i="17"/>
  <c r="N125" i="17"/>
  <c r="M125" i="17"/>
  <c r="L125" i="17"/>
  <c r="N124" i="17"/>
  <c r="M124" i="17"/>
  <c r="L124" i="17"/>
  <c r="N123" i="17"/>
  <c r="M123" i="17"/>
  <c r="L123" i="17"/>
  <c r="N122" i="17"/>
  <c r="M122" i="17"/>
  <c r="L122" i="17"/>
  <c r="N121" i="17"/>
  <c r="M121" i="17"/>
  <c r="L121" i="17"/>
  <c r="N116" i="17"/>
  <c r="M116" i="17"/>
  <c r="L116" i="17"/>
  <c r="N114" i="17"/>
  <c r="M114" i="17"/>
  <c r="L114" i="17"/>
  <c r="N113" i="17"/>
  <c r="M113" i="17"/>
  <c r="L113" i="17"/>
  <c r="N112" i="17"/>
  <c r="M112" i="17"/>
  <c r="L112" i="17"/>
  <c r="N111" i="17"/>
  <c r="M111" i="17"/>
  <c r="L111" i="17"/>
  <c r="N110" i="17"/>
  <c r="M110" i="17"/>
  <c r="L110" i="17"/>
  <c r="N109" i="17"/>
  <c r="M109" i="17"/>
  <c r="L109" i="17"/>
  <c r="N108" i="17"/>
  <c r="M108" i="17"/>
  <c r="L108" i="17"/>
  <c r="N107" i="17"/>
  <c r="M107" i="17"/>
  <c r="L107" i="17"/>
  <c r="N106" i="17"/>
  <c r="M106" i="17"/>
  <c r="L106" i="17"/>
  <c r="N105" i="17"/>
  <c r="M105" i="17"/>
  <c r="L105" i="17"/>
  <c r="N103" i="17"/>
  <c r="M103" i="17"/>
  <c r="L103" i="17"/>
  <c r="N102" i="17"/>
  <c r="M102" i="17"/>
  <c r="L102" i="17"/>
  <c r="N101" i="17"/>
  <c r="M101" i="17"/>
  <c r="L101" i="17"/>
  <c r="N100" i="17"/>
  <c r="M100" i="17"/>
  <c r="L100" i="17"/>
  <c r="N99" i="17"/>
  <c r="M99" i="17"/>
  <c r="L99" i="17"/>
  <c r="N98" i="17"/>
  <c r="M98" i="17"/>
  <c r="L98" i="17"/>
  <c r="N97" i="17"/>
  <c r="M97" i="17"/>
  <c r="L97" i="17"/>
  <c r="N96" i="17"/>
  <c r="M96" i="17"/>
  <c r="L96" i="17"/>
  <c r="N95" i="17"/>
  <c r="M95" i="17"/>
  <c r="L95" i="17"/>
  <c r="N94" i="17"/>
  <c r="M94" i="17"/>
  <c r="L94" i="17"/>
  <c r="N89" i="17"/>
  <c r="M89" i="17"/>
  <c r="L89" i="17"/>
  <c r="N87" i="17"/>
  <c r="M87" i="17"/>
  <c r="L87" i="17"/>
  <c r="N86" i="17"/>
  <c r="M86" i="17"/>
  <c r="L86" i="17"/>
  <c r="N85" i="17"/>
  <c r="M85" i="17"/>
  <c r="L85" i="17"/>
  <c r="N84" i="17"/>
  <c r="M84" i="17"/>
  <c r="L84" i="17"/>
  <c r="N83" i="17"/>
  <c r="M83" i="17"/>
  <c r="L83" i="17"/>
  <c r="N82" i="17"/>
  <c r="M82" i="17"/>
  <c r="L82" i="17"/>
  <c r="N81" i="17"/>
  <c r="M81" i="17"/>
  <c r="L81" i="17"/>
  <c r="N80" i="17"/>
  <c r="M80" i="17"/>
  <c r="L80" i="17"/>
  <c r="N79" i="17"/>
  <c r="M79" i="17"/>
  <c r="L79" i="17"/>
  <c r="N78" i="17"/>
  <c r="M78" i="17"/>
  <c r="L78" i="17"/>
  <c r="N76" i="17"/>
  <c r="M76" i="17"/>
  <c r="L76" i="17"/>
  <c r="N75" i="17"/>
  <c r="M75" i="17"/>
  <c r="L75" i="17"/>
  <c r="N74" i="17"/>
  <c r="M74" i="17"/>
  <c r="L74" i="17"/>
  <c r="N73" i="17"/>
  <c r="M73" i="17"/>
  <c r="L73" i="17"/>
  <c r="N72" i="17"/>
  <c r="M72" i="17"/>
  <c r="L72" i="17"/>
  <c r="N71" i="17"/>
  <c r="M71" i="17"/>
  <c r="L71" i="17"/>
  <c r="N70" i="17"/>
  <c r="M70" i="17"/>
  <c r="L70" i="17"/>
  <c r="N69" i="17"/>
  <c r="M69" i="17"/>
  <c r="L69" i="17"/>
  <c r="N68" i="17"/>
  <c r="M68" i="17"/>
  <c r="L68" i="17"/>
  <c r="N67" i="17"/>
  <c r="M67" i="17"/>
  <c r="L67" i="17"/>
  <c r="N62" i="17"/>
  <c r="M62" i="17"/>
  <c r="L62" i="17"/>
  <c r="N60" i="17"/>
  <c r="M60" i="17"/>
  <c r="L60" i="17"/>
  <c r="N59" i="17"/>
  <c r="M59" i="17"/>
  <c r="L59" i="17"/>
  <c r="N58" i="17"/>
  <c r="M58" i="17"/>
  <c r="L58" i="17"/>
  <c r="N57" i="17"/>
  <c r="M57" i="17"/>
  <c r="L57" i="17"/>
  <c r="N56" i="17"/>
  <c r="M56" i="17"/>
  <c r="L56" i="17"/>
  <c r="N55" i="17"/>
  <c r="M55" i="17"/>
  <c r="L55" i="17"/>
  <c r="N54" i="17"/>
  <c r="M54" i="17"/>
  <c r="L54" i="17"/>
  <c r="N53" i="17"/>
  <c r="M53" i="17"/>
  <c r="L53" i="17"/>
  <c r="N52" i="17"/>
  <c r="M52" i="17"/>
  <c r="L52" i="17"/>
  <c r="N51" i="17"/>
  <c r="M51" i="17"/>
  <c r="L51" i="17"/>
  <c r="N49" i="17"/>
  <c r="M49" i="17"/>
  <c r="L49" i="17"/>
  <c r="N48" i="17"/>
  <c r="M48" i="17"/>
  <c r="L48" i="17"/>
  <c r="N47" i="17"/>
  <c r="M47" i="17"/>
  <c r="L47" i="17"/>
  <c r="N46" i="17"/>
  <c r="M46" i="17"/>
  <c r="L46" i="17"/>
  <c r="N45" i="17"/>
  <c r="M45" i="17"/>
  <c r="L45" i="17"/>
  <c r="N44" i="17"/>
  <c r="M44" i="17"/>
  <c r="L44" i="17"/>
  <c r="N43" i="17"/>
  <c r="M43" i="17"/>
  <c r="L43" i="17"/>
  <c r="N42" i="17"/>
  <c r="M42" i="17"/>
  <c r="L42" i="17"/>
  <c r="N41" i="17"/>
  <c r="M41" i="17"/>
  <c r="L41" i="17"/>
  <c r="N40" i="17"/>
  <c r="M40" i="17"/>
  <c r="L40" i="17"/>
  <c r="N33" i="17"/>
  <c r="M33" i="17"/>
  <c r="L33" i="17"/>
  <c r="N32" i="17"/>
  <c r="M32" i="17"/>
  <c r="L32" i="17"/>
  <c r="N31" i="17"/>
  <c r="M31" i="17"/>
  <c r="L31" i="17"/>
  <c r="N30" i="17"/>
  <c r="M30" i="17"/>
  <c r="L30" i="17"/>
  <c r="N29" i="17"/>
  <c r="M29" i="17"/>
  <c r="L29" i="17"/>
  <c r="N28" i="17"/>
  <c r="M28" i="17"/>
  <c r="L28" i="17"/>
  <c r="N27" i="17"/>
  <c r="M27" i="17"/>
  <c r="L27" i="17"/>
  <c r="N26" i="17"/>
  <c r="M26" i="17"/>
  <c r="L26" i="17"/>
  <c r="N25" i="17"/>
  <c r="M25" i="17"/>
  <c r="L25" i="17"/>
  <c r="N24" i="17"/>
  <c r="M24" i="17"/>
  <c r="L24" i="17"/>
  <c r="N21" i="17"/>
  <c r="M21" i="17"/>
  <c r="L21" i="17"/>
  <c r="N20" i="17"/>
  <c r="M20" i="17"/>
  <c r="L20" i="17"/>
  <c r="N19" i="17"/>
  <c r="M19" i="17"/>
  <c r="L19" i="17"/>
  <c r="N18" i="17"/>
  <c r="M18" i="17"/>
  <c r="L18" i="17"/>
  <c r="N17" i="17"/>
  <c r="M17" i="17"/>
  <c r="L17" i="17"/>
  <c r="N15" i="17"/>
  <c r="M15" i="17"/>
  <c r="L15" i="17"/>
  <c r="N14" i="17"/>
  <c r="M14" i="17"/>
  <c r="L14" i="17"/>
  <c r="N13" i="17"/>
  <c r="M13" i="17"/>
  <c r="L13" i="17"/>
  <c r="N145" i="15"/>
  <c r="M145" i="15"/>
  <c r="L145" i="15"/>
  <c r="N143" i="15"/>
  <c r="M143" i="15"/>
  <c r="L143" i="15"/>
  <c r="N142" i="15"/>
  <c r="M142" i="15"/>
  <c r="L142" i="15"/>
  <c r="N141" i="15"/>
  <c r="M141" i="15"/>
  <c r="L141" i="15"/>
  <c r="N140" i="15"/>
  <c r="M140" i="15"/>
  <c r="L140" i="15"/>
  <c r="N139" i="15"/>
  <c r="M139" i="15"/>
  <c r="L139" i="15"/>
  <c r="N138" i="15"/>
  <c r="M138" i="15"/>
  <c r="L138" i="15"/>
  <c r="N133" i="15"/>
  <c r="M133" i="15"/>
  <c r="L133" i="15"/>
  <c r="N131" i="15"/>
  <c r="M131" i="15"/>
  <c r="L131" i="15"/>
  <c r="N130" i="15"/>
  <c r="M130" i="15"/>
  <c r="L130" i="15"/>
  <c r="N129" i="15"/>
  <c r="M129" i="15"/>
  <c r="L129" i="15"/>
  <c r="N128" i="15"/>
  <c r="M128" i="15"/>
  <c r="L128" i="15"/>
  <c r="N127" i="15"/>
  <c r="M127" i="15"/>
  <c r="L127" i="15"/>
  <c r="N126" i="15"/>
  <c r="M126" i="15"/>
  <c r="L126" i="15"/>
  <c r="N125" i="15"/>
  <c r="M125" i="15"/>
  <c r="L125" i="15"/>
  <c r="N121" i="15"/>
  <c r="M121" i="15"/>
  <c r="L121" i="15"/>
  <c r="N119" i="15"/>
  <c r="M119" i="15"/>
  <c r="L119" i="15"/>
  <c r="N118" i="15"/>
  <c r="M118" i="15"/>
  <c r="L118" i="15"/>
  <c r="N117" i="15"/>
  <c r="M117" i="15"/>
  <c r="L117" i="15"/>
  <c r="N116" i="15"/>
  <c r="M116" i="15"/>
  <c r="L116" i="15"/>
  <c r="N115" i="15"/>
  <c r="M115" i="15"/>
  <c r="L115" i="15"/>
  <c r="N114" i="15"/>
  <c r="M114" i="15"/>
  <c r="L114" i="15"/>
  <c r="N113" i="15"/>
  <c r="M113" i="15"/>
  <c r="L113" i="15"/>
  <c r="N109" i="15"/>
  <c r="M109" i="15"/>
  <c r="L109" i="15"/>
  <c r="N107" i="15"/>
  <c r="M107" i="15"/>
  <c r="L107" i="15"/>
  <c r="N106" i="15"/>
  <c r="M106" i="15"/>
  <c r="L106" i="15"/>
  <c r="N105" i="15"/>
  <c r="M105" i="15"/>
  <c r="L105" i="15"/>
  <c r="N104" i="15"/>
  <c r="M104" i="15"/>
  <c r="L104" i="15"/>
  <c r="N103" i="15"/>
  <c r="M103" i="15"/>
  <c r="L103" i="15"/>
  <c r="N102" i="15"/>
  <c r="M102" i="15"/>
  <c r="L102" i="15"/>
  <c r="N101" i="15"/>
  <c r="M101" i="15"/>
  <c r="L101" i="15"/>
  <c r="N97" i="15"/>
  <c r="M97" i="15"/>
  <c r="L97" i="15"/>
  <c r="N95" i="15"/>
  <c r="M95" i="15"/>
  <c r="L95" i="15"/>
  <c r="N94" i="15"/>
  <c r="M94" i="15"/>
  <c r="L94" i="15"/>
  <c r="N93" i="15"/>
  <c r="M93" i="15"/>
  <c r="L93" i="15"/>
  <c r="N92" i="15"/>
  <c r="M92" i="15"/>
  <c r="L92" i="15"/>
  <c r="N91" i="15"/>
  <c r="M91" i="15"/>
  <c r="L91" i="15"/>
  <c r="N90" i="15"/>
  <c r="M90" i="15"/>
  <c r="L90" i="15"/>
  <c r="N89" i="15"/>
  <c r="M89" i="15"/>
  <c r="L89" i="15"/>
  <c r="N85" i="15"/>
  <c r="M85" i="15"/>
  <c r="L85" i="15"/>
  <c r="N83" i="15"/>
  <c r="M83" i="15"/>
  <c r="L83" i="15"/>
  <c r="N82" i="15"/>
  <c r="M82" i="15"/>
  <c r="L82" i="15"/>
  <c r="N81" i="15"/>
  <c r="M81" i="15"/>
  <c r="L81" i="15"/>
  <c r="N80" i="15"/>
  <c r="M80" i="15"/>
  <c r="L80" i="15"/>
  <c r="N79" i="15"/>
  <c r="M79" i="15"/>
  <c r="L79" i="15"/>
  <c r="N78" i="15"/>
  <c r="M78" i="15"/>
  <c r="L78" i="15"/>
  <c r="N77" i="15"/>
  <c r="M77" i="15"/>
  <c r="L77" i="15"/>
  <c r="N71" i="15"/>
  <c r="M71" i="15"/>
  <c r="L71" i="15"/>
  <c r="N70" i="15"/>
  <c r="M70" i="15"/>
  <c r="L70" i="15"/>
  <c r="N69" i="15"/>
  <c r="M69" i="15"/>
  <c r="L69" i="15"/>
  <c r="N68" i="15"/>
  <c r="M68" i="15"/>
  <c r="L68" i="15"/>
  <c r="N67" i="15"/>
  <c r="M67" i="15"/>
  <c r="L67" i="15"/>
  <c r="N66" i="15"/>
  <c r="M66" i="15"/>
  <c r="L66" i="15"/>
  <c r="N61" i="15"/>
  <c r="M61" i="15"/>
  <c r="L61" i="15"/>
  <c r="N59" i="15"/>
  <c r="M59" i="15"/>
  <c r="L59" i="15"/>
  <c r="N58" i="15"/>
  <c r="M58" i="15"/>
  <c r="L58" i="15"/>
  <c r="N57" i="15"/>
  <c r="M57" i="15"/>
  <c r="L57" i="15"/>
  <c r="N56" i="15"/>
  <c r="M56" i="15"/>
  <c r="L56" i="15"/>
  <c r="N55" i="15"/>
  <c r="M55" i="15"/>
  <c r="L55" i="15"/>
  <c r="N54" i="15"/>
  <c r="M54" i="15"/>
  <c r="L54" i="15"/>
  <c r="N53" i="15"/>
  <c r="M53" i="15"/>
  <c r="L53" i="15"/>
  <c r="N49" i="15"/>
  <c r="M49" i="15"/>
  <c r="L49" i="15"/>
  <c r="N47" i="15"/>
  <c r="M47" i="15"/>
  <c r="L47" i="15"/>
  <c r="N46" i="15"/>
  <c r="M46" i="15"/>
  <c r="L46" i="15"/>
  <c r="N45" i="15"/>
  <c r="M45" i="15"/>
  <c r="L45" i="15"/>
  <c r="N44" i="15"/>
  <c r="M44" i="15"/>
  <c r="L44" i="15"/>
  <c r="N43" i="15"/>
  <c r="M43" i="15"/>
  <c r="L43" i="15"/>
  <c r="N42" i="15"/>
  <c r="M42" i="15"/>
  <c r="L42" i="15"/>
  <c r="N41" i="15"/>
  <c r="M41" i="15"/>
  <c r="L41" i="15"/>
  <c r="N37" i="15"/>
  <c r="M37" i="15"/>
  <c r="L37" i="15"/>
  <c r="N35" i="15"/>
  <c r="M35" i="15"/>
  <c r="L35" i="15"/>
  <c r="N34" i="15"/>
  <c r="M34" i="15"/>
  <c r="L34" i="15"/>
  <c r="N33" i="15"/>
  <c r="M33" i="15"/>
  <c r="L33" i="15"/>
  <c r="N32" i="15"/>
  <c r="M32" i="15"/>
  <c r="L32" i="15"/>
  <c r="N31" i="15"/>
  <c r="M31" i="15"/>
  <c r="L31" i="15"/>
  <c r="N30" i="15"/>
  <c r="M30" i="15"/>
  <c r="L30" i="15"/>
  <c r="N29" i="15"/>
  <c r="M29" i="15"/>
  <c r="L29" i="15"/>
  <c r="N22" i="15"/>
  <c r="M22" i="15"/>
  <c r="L22" i="15"/>
  <c r="N21" i="15"/>
  <c r="M21" i="15"/>
  <c r="L21" i="15"/>
  <c r="N20" i="15"/>
  <c r="M20" i="15"/>
  <c r="L20" i="15"/>
  <c r="N19" i="15"/>
  <c r="M19" i="15"/>
  <c r="L19" i="15"/>
  <c r="N18" i="15"/>
  <c r="M18" i="15"/>
  <c r="L18" i="15"/>
  <c r="N17" i="15"/>
  <c r="M17" i="15"/>
  <c r="L17" i="15"/>
  <c r="N15" i="15"/>
  <c r="M15" i="15"/>
  <c r="L15" i="15"/>
  <c r="N14" i="15"/>
  <c r="M14" i="15"/>
  <c r="L14" i="15"/>
  <c r="N13" i="15"/>
  <c r="M13" i="15"/>
  <c r="L13" i="15"/>
  <c r="N106" i="16"/>
  <c r="M106" i="16"/>
  <c r="L106" i="16"/>
  <c r="N105" i="16"/>
  <c r="M105" i="16"/>
  <c r="L105" i="16"/>
  <c r="N104" i="16"/>
  <c r="M104" i="16"/>
  <c r="L104" i="16"/>
  <c r="N103" i="16"/>
  <c r="M103" i="16"/>
  <c r="L103" i="16"/>
  <c r="N102" i="16"/>
  <c r="M102" i="16"/>
  <c r="L102" i="16"/>
  <c r="N101" i="16"/>
  <c r="M101" i="16"/>
  <c r="L101" i="16"/>
  <c r="N94" i="16"/>
  <c r="M94" i="16"/>
  <c r="L94" i="16"/>
  <c r="N93" i="16"/>
  <c r="M93" i="16"/>
  <c r="L93" i="16"/>
  <c r="N92" i="16"/>
  <c r="M92" i="16"/>
  <c r="L92" i="16"/>
  <c r="N91" i="16"/>
  <c r="M91" i="16"/>
  <c r="L91" i="16"/>
  <c r="N90" i="16"/>
  <c r="M90" i="16"/>
  <c r="L90" i="16"/>
  <c r="N89" i="16"/>
  <c r="M89" i="16"/>
  <c r="L89" i="16"/>
  <c r="N82" i="16"/>
  <c r="M82" i="16"/>
  <c r="L82" i="16"/>
  <c r="N81" i="16"/>
  <c r="M81" i="16"/>
  <c r="L81" i="16"/>
  <c r="N80" i="16"/>
  <c r="M80" i="16"/>
  <c r="L80" i="16"/>
  <c r="N79" i="16"/>
  <c r="M79" i="16"/>
  <c r="L79" i="16"/>
  <c r="N78" i="16"/>
  <c r="M78" i="16"/>
  <c r="L78" i="16"/>
  <c r="N77" i="16"/>
  <c r="M77" i="16"/>
  <c r="L77" i="16"/>
  <c r="N58" i="16"/>
  <c r="M58" i="16"/>
  <c r="L58" i="16"/>
  <c r="N57" i="16"/>
  <c r="M57" i="16"/>
  <c r="L57" i="16"/>
  <c r="N56" i="16"/>
  <c r="M56" i="16"/>
  <c r="L56" i="16"/>
  <c r="N55" i="16"/>
  <c r="M55" i="16"/>
  <c r="L55" i="16"/>
  <c r="N54" i="16"/>
  <c r="M54" i="16"/>
  <c r="L54" i="16"/>
  <c r="N53" i="16"/>
  <c r="M53" i="16"/>
  <c r="L53" i="16"/>
  <c r="N46" i="16"/>
  <c r="M46" i="16"/>
  <c r="L46" i="16"/>
  <c r="N45" i="16"/>
  <c r="M45" i="16"/>
  <c r="L45" i="16"/>
  <c r="N44" i="16"/>
  <c r="M44" i="16"/>
  <c r="L44" i="16"/>
  <c r="N43" i="16"/>
  <c r="M43" i="16"/>
  <c r="L43" i="16"/>
  <c r="N42" i="16"/>
  <c r="M42" i="16"/>
  <c r="L42" i="16"/>
  <c r="N41" i="16"/>
  <c r="M41" i="16"/>
  <c r="L41" i="16"/>
  <c r="R35" i="10" l="1"/>
  <c r="R37" i="10"/>
  <c r="D31" i="35"/>
  <c r="D56" i="35"/>
  <c r="D20" i="35"/>
  <c r="D26" i="35"/>
  <c r="D49" i="35"/>
  <c r="D110" i="35" l="1"/>
  <c r="D112" i="35" s="1"/>
  <c r="E117" i="35" s="1"/>
  <c r="D14" i="35"/>
  <c r="D96" i="35"/>
  <c r="D98" i="35" s="1"/>
  <c r="E116" i="35" s="1"/>
  <c r="H20" i="33" l="1"/>
  <c r="G20" i="33"/>
  <c r="B22" i="33" l="1"/>
  <c r="J98" i="7" l="1"/>
  <c r="J33" i="7"/>
  <c r="J32" i="7" s="1"/>
  <c r="J71" i="7"/>
  <c r="J66" i="7"/>
  <c r="J48" i="7"/>
  <c r="J41" i="7"/>
  <c r="J98" i="6"/>
  <c r="F99" i="5"/>
  <c r="F116" i="16" s="1"/>
  <c r="D95" i="5"/>
  <c r="E95" i="5"/>
  <c r="J99" i="5"/>
  <c r="F98" i="5" l="1"/>
  <c r="F96" i="5"/>
  <c r="F95" i="5" s="1"/>
  <c r="J93" i="5"/>
  <c r="F93" i="5"/>
  <c r="J16" i="5"/>
  <c r="J98" i="4"/>
  <c r="J96" i="4"/>
  <c r="J95" i="3"/>
  <c r="F95" i="3"/>
  <c r="J67" i="3"/>
  <c r="J98" i="2"/>
  <c r="F98" i="2"/>
  <c r="J135" i="9"/>
  <c r="F135" i="9"/>
  <c r="J79" i="10" l="1"/>
  <c r="J65" i="10"/>
  <c r="F79" i="10" l="1"/>
  <c r="F65" i="10"/>
  <c r="F43" i="10"/>
  <c r="B11" i="36" l="1"/>
  <c r="D20" i="34"/>
  <c r="C20" i="34"/>
  <c r="B20" i="34"/>
  <c r="F18" i="34"/>
  <c r="F23" i="34" s="1"/>
  <c r="B18" i="34"/>
  <c r="B23" i="34" s="1"/>
  <c r="H18" i="34"/>
  <c r="H23" i="34" s="1"/>
  <c r="G18" i="34"/>
  <c r="G23" i="34" s="1"/>
  <c r="D18" i="34"/>
  <c r="H22" i="33"/>
  <c r="G22" i="33"/>
  <c r="F22" i="33"/>
  <c r="F20" i="33"/>
  <c r="B20" i="33"/>
  <c r="B27" i="33" s="1"/>
  <c r="C20" i="33"/>
  <c r="D20" i="33"/>
  <c r="G18" i="31"/>
  <c r="F18" i="31"/>
  <c r="E18" i="31"/>
  <c r="D18" i="31"/>
  <c r="C18" i="31"/>
  <c r="H17" i="31"/>
  <c r="I17" i="31" s="1"/>
  <c r="H16" i="31"/>
  <c r="H18" i="31" s="1"/>
  <c r="H14" i="31"/>
  <c r="H19" i="31" s="1"/>
  <c r="G14" i="31"/>
  <c r="G19" i="31" s="1"/>
  <c r="F14" i="31"/>
  <c r="F19" i="31" s="1"/>
  <c r="E14" i="31"/>
  <c r="E19" i="31" s="1"/>
  <c r="D14" i="31"/>
  <c r="D19" i="31" s="1"/>
  <c r="C14" i="31"/>
  <c r="C19" i="31" s="1"/>
  <c r="H13" i="31"/>
  <c r="I13" i="31" s="1"/>
  <c r="H12" i="31"/>
  <c r="I12" i="31" s="1"/>
  <c r="H11" i="31"/>
  <c r="I11" i="31" s="1"/>
  <c r="H10" i="31"/>
  <c r="I10" i="31" s="1"/>
  <c r="H9" i="31"/>
  <c r="I9" i="31" s="1"/>
  <c r="I8" i="31"/>
  <c r="H8" i="31"/>
  <c r="F8" i="30"/>
  <c r="E8" i="30"/>
  <c r="D8" i="30"/>
  <c r="F6" i="30"/>
  <c r="F10" i="30" s="1"/>
  <c r="E6" i="30"/>
  <c r="E10" i="30" s="1"/>
  <c r="D6" i="30"/>
  <c r="D10" i="30" s="1"/>
  <c r="I14" i="31" l="1"/>
  <c r="D21" i="33"/>
  <c r="C18" i="34"/>
  <c r="C23" i="34" s="1"/>
  <c r="C24" i="34" s="1"/>
  <c r="F27" i="33"/>
  <c r="B21" i="33"/>
  <c r="D19" i="34"/>
  <c r="D23" i="34"/>
  <c r="D24" i="34" s="1"/>
  <c r="B24" i="34"/>
  <c r="B19" i="34"/>
  <c r="C21" i="33"/>
  <c r="G27" i="33"/>
  <c r="G30" i="33" s="1"/>
  <c r="B30" i="33"/>
  <c r="I16" i="31"/>
  <c r="I18" i="31" s="1"/>
  <c r="I19" i="31" s="1"/>
  <c r="C19" i="34" l="1"/>
  <c r="H27" i="33"/>
  <c r="F30" i="33"/>
  <c r="B28" i="33"/>
  <c r="D108" i="3" l="1"/>
  <c r="I98" i="6" l="1"/>
  <c r="I16" i="5"/>
  <c r="I98" i="7" l="1"/>
  <c r="I86" i="7"/>
  <c r="I71" i="7"/>
  <c r="I66" i="7"/>
  <c r="I48" i="7"/>
  <c r="I41" i="7"/>
  <c r="I33" i="7"/>
  <c r="I98" i="4"/>
  <c r="I96" i="4"/>
  <c r="I98" i="2"/>
  <c r="I32" i="7" l="1"/>
  <c r="I79" i="10"/>
  <c r="I65" i="10"/>
  <c r="I43" i="10"/>
  <c r="I40" i="10"/>
  <c r="E79" i="10"/>
  <c r="E65" i="10"/>
  <c r="E43" i="10"/>
  <c r="E14" i="10"/>
  <c r="H98" i="5" l="1"/>
  <c r="H71" i="7"/>
  <c r="H66" i="7"/>
  <c r="H48" i="7"/>
  <c r="H41" i="7"/>
  <c r="H33" i="7"/>
  <c r="H98" i="7"/>
  <c r="D33" i="7"/>
  <c r="D32" i="7" s="1"/>
  <c r="E33" i="7"/>
  <c r="F33" i="7"/>
  <c r="D41" i="7"/>
  <c r="E41" i="7"/>
  <c r="F41" i="7"/>
  <c r="D48" i="7"/>
  <c r="E48" i="7"/>
  <c r="F48" i="7"/>
  <c r="D66" i="7"/>
  <c r="E66" i="7"/>
  <c r="F66" i="7"/>
  <c r="D71" i="7"/>
  <c r="E71" i="7"/>
  <c r="F71" i="7"/>
  <c r="D83" i="7"/>
  <c r="E83" i="7"/>
  <c r="F83" i="7"/>
  <c r="H98" i="4"/>
  <c r="H96" i="4"/>
  <c r="F32" i="7" l="1"/>
  <c r="E32" i="7"/>
  <c r="H32" i="7"/>
  <c r="H79" i="10"/>
  <c r="H65" i="10"/>
  <c r="H47" i="10"/>
  <c r="D79" i="10"/>
  <c r="D65" i="10"/>
  <c r="D43" i="10"/>
  <c r="D32" i="9"/>
  <c r="H98" i="2" l="1"/>
  <c r="C95" i="6"/>
  <c r="C26" i="4" l="1"/>
  <c r="C64" i="6" l="1"/>
  <c r="C43" i="10"/>
  <c r="C107" i="2" l="1"/>
  <c r="C19" i="2"/>
  <c r="C26" i="7"/>
  <c r="C19" i="7"/>
  <c r="C21" i="6" l="1"/>
  <c r="C19" i="6"/>
  <c r="C59" i="10" l="1"/>
  <c r="J1" i="6" l="1"/>
  <c r="C19" i="5" l="1"/>
  <c r="C27" i="10" l="1"/>
  <c r="C25" i="10" s="1"/>
  <c r="C96" i="4" l="1"/>
  <c r="C33" i="7"/>
  <c r="C41" i="7"/>
  <c r="C48" i="7"/>
  <c r="C66" i="7"/>
  <c r="C71" i="7"/>
  <c r="C32" i="7" l="1"/>
  <c r="C83" i="6"/>
  <c r="C95" i="5"/>
  <c r="C19" i="4" l="1"/>
  <c r="H2" i="10" l="1"/>
  <c r="H93" i="5" l="1"/>
  <c r="D67" i="3" l="1"/>
  <c r="E67" i="3"/>
  <c r="F67" i="3"/>
  <c r="C67" i="3"/>
  <c r="I135" i="9" l="1"/>
  <c r="E135" i="9"/>
  <c r="E33" i="6" l="1"/>
  <c r="I99" i="5"/>
  <c r="E99" i="5"/>
  <c r="I95" i="3"/>
  <c r="H95" i="3"/>
  <c r="T98" i="3"/>
  <c r="I67" i="3"/>
  <c r="H67" i="3"/>
  <c r="E34" i="3"/>
  <c r="I83" i="2"/>
  <c r="D93" i="5" l="1"/>
  <c r="E93" i="5"/>
  <c r="H99" i="5"/>
  <c r="D99" i="5"/>
  <c r="H135" i="9"/>
  <c r="D135" i="9"/>
  <c r="T82" i="5" l="1"/>
  <c r="I107" i="15"/>
  <c r="C86" i="7"/>
  <c r="C107" i="15" s="1"/>
  <c r="D86" i="7"/>
  <c r="D181" i="17" s="1"/>
  <c r="E86" i="7"/>
  <c r="E181" i="17" s="1"/>
  <c r="F86" i="7"/>
  <c r="F181" i="17" s="1"/>
  <c r="H86" i="7"/>
  <c r="J86" i="7"/>
  <c r="T88" i="7"/>
  <c r="T85" i="7"/>
  <c r="T84" i="7"/>
  <c r="J83" i="7"/>
  <c r="J95" i="15" s="1"/>
  <c r="I83" i="7"/>
  <c r="I95" i="15" s="1"/>
  <c r="H83" i="7"/>
  <c r="H180" i="17" s="1"/>
  <c r="F180" i="17"/>
  <c r="E180" i="17"/>
  <c r="D180" i="17"/>
  <c r="C83" i="7"/>
  <c r="C180" i="17" s="1"/>
  <c r="T94" i="7"/>
  <c r="T93" i="7"/>
  <c r="J93" i="7"/>
  <c r="J34" i="16" s="1"/>
  <c r="I93" i="7"/>
  <c r="I34" i="16" s="1"/>
  <c r="H93" i="7"/>
  <c r="H34" i="16" s="1"/>
  <c r="F93" i="7"/>
  <c r="F186" i="17" s="1"/>
  <c r="E93" i="7"/>
  <c r="E34" i="16" s="1"/>
  <c r="M34" i="16" s="1"/>
  <c r="D93" i="7"/>
  <c r="D34" i="16" s="1"/>
  <c r="L34" i="16" s="1"/>
  <c r="C93" i="7"/>
  <c r="C34" i="16" s="1"/>
  <c r="T34" i="16" s="1"/>
  <c r="H106" i="15"/>
  <c r="F106" i="15"/>
  <c r="C94" i="15"/>
  <c r="H154" i="17"/>
  <c r="C153" i="17"/>
  <c r="J86" i="6"/>
  <c r="J106" i="15" s="1"/>
  <c r="I86" i="6"/>
  <c r="I106" i="15" s="1"/>
  <c r="H86" i="6"/>
  <c r="F86" i="6"/>
  <c r="F154" i="17" s="1"/>
  <c r="E86" i="6"/>
  <c r="E106" i="15" s="1"/>
  <c r="D86" i="6"/>
  <c r="D106" i="15" s="1"/>
  <c r="C86" i="6"/>
  <c r="C106" i="15" s="1"/>
  <c r="J83" i="6"/>
  <c r="I83" i="6"/>
  <c r="I153" i="17" s="1"/>
  <c r="H83" i="6"/>
  <c r="H153" i="17" s="1"/>
  <c r="F83" i="6"/>
  <c r="F94" i="15" s="1"/>
  <c r="E83" i="6"/>
  <c r="E153" i="17" s="1"/>
  <c r="D83" i="6"/>
  <c r="D153" i="17" s="1"/>
  <c r="T82" i="6"/>
  <c r="T88" i="5"/>
  <c r="T87" i="5"/>
  <c r="J86" i="5"/>
  <c r="J127" i="17" s="1"/>
  <c r="I86" i="5"/>
  <c r="I127" i="17" s="1"/>
  <c r="H86" i="5"/>
  <c r="H105" i="15" s="1"/>
  <c r="F86" i="5"/>
  <c r="F127" i="17" s="1"/>
  <c r="E86" i="5"/>
  <c r="E127" i="17" s="1"/>
  <c r="D86" i="5"/>
  <c r="D127" i="17" s="1"/>
  <c r="C86" i="5"/>
  <c r="T86" i="5" s="1"/>
  <c r="T85" i="5"/>
  <c r="J83" i="5"/>
  <c r="J126" i="17" s="1"/>
  <c r="I83" i="5"/>
  <c r="I93" i="15" s="1"/>
  <c r="H83" i="5"/>
  <c r="H93" i="15" s="1"/>
  <c r="F83" i="5"/>
  <c r="F126" i="17" s="1"/>
  <c r="E83" i="5"/>
  <c r="E93" i="15" s="1"/>
  <c r="D83" i="5"/>
  <c r="D93" i="15" s="1"/>
  <c r="C83" i="5"/>
  <c r="C126" i="17" s="1"/>
  <c r="T94" i="4"/>
  <c r="J93" i="4"/>
  <c r="I93" i="4"/>
  <c r="H93" i="4"/>
  <c r="H105" i="17" s="1"/>
  <c r="F93" i="4"/>
  <c r="E93" i="4"/>
  <c r="E31" i="16" s="1"/>
  <c r="M31" i="16" s="1"/>
  <c r="D93" i="4"/>
  <c r="D105" i="17" s="1"/>
  <c r="C93" i="4"/>
  <c r="T93" i="4" s="1"/>
  <c r="J86" i="4"/>
  <c r="I86" i="4"/>
  <c r="H86" i="4"/>
  <c r="F86" i="4"/>
  <c r="F100" i="17" s="1"/>
  <c r="D86" i="4"/>
  <c r="D104" i="15" s="1"/>
  <c r="C86" i="4"/>
  <c r="C104" i="15" s="1"/>
  <c r="J83" i="4"/>
  <c r="I83" i="4"/>
  <c r="I92" i="15" s="1"/>
  <c r="H83" i="4"/>
  <c r="F83" i="4"/>
  <c r="F99" i="17" s="1"/>
  <c r="C83" i="4"/>
  <c r="C92" i="15" s="1"/>
  <c r="J93" i="3"/>
  <c r="I93" i="3"/>
  <c r="I78" i="17" s="1"/>
  <c r="H93" i="3"/>
  <c r="H78" i="17" s="1"/>
  <c r="F93" i="3"/>
  <c r="F78" i="17" s="1"/>
  <c r="J84" i="3"/>
  <c r="I84" i="3"/>
  <c r="H84" i="3"/>
  <c r="F84" i="3"/>
  <c r="E84" i="3"/>
  <c r="D84" i="3"/>
  <c r="C84" i="3"/>
  <c r="I87" i="3"/>
  <c r="I103" i="15" s="1"/>
  <c r="J87" i="3"/>
  <c r="J73" i="17" s="1"/>
  <c r="H87" i="3"/>
  <c r="F87" i="3"/>
  <c r="F103" i="15" s="1"/>
  <c r="D87" i="3"/>
  <c r="D103" i="15" s="1"/>
  <c r="C87" i="3"/>
  <c r="C103" i="15" s="1"/>
  <c r="G51" i="17"/>
  <c r="J93" i="2"/>
  <c r="I93" i="2"/>
  <c r="I29" i="16" s="1"/>
  <c r="H93" i="2"/>
  <c r="H29" i="16" s="1"/>
  <c r="F93" i="2"/>
  <c r="F51" i="17" s="1"/>
  <c r="C93" i="2"/>
  <c r="C29" i="16" s="1"/>
  <c r="T29" i="16" s="1"/>
  <c r="K46" i="17"/>
  <c r="K45" i="17"/>
  <c r="J86" i="2"/>
  <c r="H86" i="2"/>
  <c r="H102" i="15" s="1"/>
  <c r="F86" i="2"/>
  <c r="F102" i="15" s="1"/>
  <c r="E86" i="2"/>
  <c r="E46" i="17" s="1"/>
  <c r="D86" i="2"/>
  <c r="D102" i="15" s="1"/>
  <c r="C86" i="2"/>
  <c r="C102" i="15" s="1"/>
  <c r="J83" i="2"/>
  <c r="H83" i="2"/>
  <c r="H45" i="17" s="1"/>
  <c r="F83" i="2"/>
  <c r="F45" i="17" s="1"/>
  <c r="E83" i="2"/>
  <c r="E45" i="17" s="1"/>
  <c r="D83" i="2"/>
  <c r="D45" i="17" s="1"/>
  <c r="C83" i="2"/>
  <c r="C90" i="15" s="1"/>
  <c r="I154" i="17" l="1"/>
  <c r="H186" i="17"/>
  <c r="C99" i="17"/>
  <c r="C154" i="17"/>
  <c r="J154" i="17"/>
  <c r="D107" i="15"/>
  <c r="D100" i="17"/>
  <c r="F153" i="17"/>
  <c r="I105" i="17"/>
  <c r="C93" i="15"/>
  <c r="D154" i="17"/>
  <c r="F105" i="15"/>
  <c r="D31" i="16"/>
  <c r="L31" i="16" s="1"/>
  <c r="E154" i="17"/>
  <c r="F73" i="17"/>
  <c r="H104" i="15"/>
  <c r="J153" i="17"/>
  <c r="J180" i="17"/>
  <c r="J94" i="15"/>
  <c r="J92" i="15"/>
  <c r="J99" i="17"/>
  <c r="F90" i="15"/>
  <c r="C95" i="15"/>
  <c r="J45" i="17"/>
  <c r="F46" i="17"/>
  <c r="C45" i="17"/>
  <c r="H46" i="17"/>
  <c r="F29" i="16"/>
  <c r="N29" i="16" s="1"/>
  <c r="E102" i="15"/>
  <c r="C46" i="17"/>
  <c r="D46" i="17"/>
  <c r="J46" i="17"/>
  <c r="J102" i="15"/>
  <c r="J90" i="15"/>
  <c r="C51" i="17"/>
  <c r="J29" i="16"/>
  <c r="H181" i="17"/>
  <c r="E107" i="15"/>
  <c r="J107" i="15"/>
  <c r="F95" i="15"/>
  <c r="I181" i="17"/>
  <c r="F107" i="15"/>
  <c r="C181" i="17"/>
  <c r="J181" i="17"/>
  <c r="H107" i="15"/>
  <c r="D186" i="17"/>
  <c r="I186" i="17"/>
  <c r="F34" i="16"/>
  <c r="N34" i="16" s="1"/>
  <c r="E186" i="17"/>
  <c r="J186" i="17"/>
  <c r="C186" i="17"/>
  <c r="I30" i="16"/>
  <c r="F30" i="16"/>
  <c r="N30" i="16" s="1"/>
  <c r="J78" i="17"/>
  <c r="C100" i="17"/>
  <c r="H100" i="17"/>
  <c r="C31" i="16"/>
  <c r="T31" i="16" s="1"/>
  <c r="H92" i="15"/>
  <c r="F104" i="15"/>
  <c r="I100" i="17"/>
  <c r="I31" i="16"/>
  <c r="F92" i="15"/>
  <c r="J104" i="15"/>
  <c r="H99" i="17"/>
  <c r="J100" i="17"/>
  <c r="H31" i="16"/>
  <c r="I104" i="15"/>
  <c r="E105" i="17"/>
  <c r="J105" i="17"/>
  <c r="F105" i="17"/>
  <c r="F31" i="16"/>
  <c r="N31" i="16" s="1"/>
  <c r="C105" i="17"/>
  <c r="J31" i="16"/>
  <c r="E95" i="15"/>
  <c r="D90" i="15"/>
  <c r="I180" i="17"/>
  <c r="I94" i="15"/>
  <c r="E94" i="15"/>
  <c r="I99" i="17"/>
  <c r="C73" i="17"/>
  <c r="H73" i="17"/>
  <c r="H30" i="16"/>
  <c r="D73" i="17"/>
  <c r="I73" i="17"/>
  <c r="J103" i="15"/>
  <c r="H103" i="15"/>
  <c r="J30" i="16"/>
  <c r="E90" i="15"/>
  <c r="H95" i="15"/>
  <c r="D95" i="15"/>
  <c r="H94" i="15"/>
  <c r="D94" i="15"/>
  <c r="H126" i="17"/>
  <c r="H90" i="15"/>
  <c r="C127" i="17"/>
  <c r="D126" i="17"/>
  <c r="I105" i="15"/>
  <c r="D105" i="15"/>
  <c r="H127" i="17"/>
  <c r="F93" i="15"/>
  <c r="I126" i="17"/>
  <c r="J105" i="15"/>
  <c r="E105" i="15"/>
  <c r="T86" i="6"/>
  <c r="T87" i="6"/>
  <c r="T88" i="6"/>
  <c r="T85" i="6"/>
  <c r="J93" i="15"/>
  <c r="E126" i="17"/>
  <c r="C105" i="15"/>
  <c r="D83" i="4"/>
  <c r="H51" i="17"/>
  <c r="I51" i="17"/>
  <c r="J51" i="17"/>
  <c r="C93" i="3"/>
  <c r="E87" i="3"/>
  <c r="D93" i="2"/>
  <c r="I86" i="2"/>
  <c r="F13" i="7"/>
  <c r="H13" i="7"/>
  <c r="J13" i="7"/>
  <c r="E13" i="6"/>
  <c r="F13" i="6"/>
  <c r="H13" i="6"/>
  <c r="J13" i="6"/>
  <c r="E13" i="5"/>
  <c r="F13" i="5"/>
  <c r="H13" i="5"/>
  <c r="J13" i="5"/>
  <c r="C13" i="5"/>
  <c r="D13" i="4"/>
  <c r="E13" i="4"/>
  <c r="F13" i="4"/>
  <c r="H13" i="4"/>
  <c r="J13" i="4"/>
  <c r="K13" i="4"/>
  <c r="C13" i="4"/>
  <c r="E13" i="3"/>
  <c r="F13" i="3"/>
  <c r="H13" i="3"/>
  <c r="J13" i="3"/>
  <c r="F13" i="2"/>
  <c r="H13" i="2"/>
  <c r="J13" i="2"/>
  <c r="C13" i="2"/>
  <c r="D92" i="15" l="1"/>
  <c r="D99" i="17"/>
  <c r="E73" i="17"/>
  <c r="E103" i="15"/>
  <c r="C30" i="16"/>
  <c r="T30" i="16" s="1"/>
  <c r="C78" i="17"/>
  <c r="I102" i="15"/>
  <c r="I46" i="17"/>
  <c r="I45" i="17"/>
  <c r="I90" i="15"/>
  <c r="E83" i="4"/>
  <c r="E86" i="4"/>
  <c r="D29" i="16"/>
  <c r="L29" i="16" s="1"/>
  <c r="D51" i="17"/>
  <c r="D93" i="3"/>
  <c r="E93" i="2"/>
  <c r="B41" i="17"/>
  <c r="B68" i="17" s="1"/>
  <c r="B95" i="17" s="1"/>
  <c r="B122" i="17" s="1"/>
  <c r="B149" i="17" s="1"/>
  <c r="B176" i="17" s="1"/>
  <c r="B42" i="17"/>
  <c r="B69" i="17" s="1"/>
  <c r="B96" i="17" s="1"/>
  <c r="B123" i="17" s="1"/>
  <c r="B150" i="17" s="1"/>
  <c r="B177" i="17" s="1"/>
  <c r="B43" i="17"/>
  <c r="B70" i="17" s="1"/>
  <c r="B97" i="17" s="1"/>
  <c r="B124" i="17" s="1"/>
  <c r="B151" i="17" s="1"/>
  <c r="B178" i="17" s="1"/>
  <c r="B44" i="17"/>
  <c r="B71" i="17" s="1"/>
  <c r="B98" i="17" s="1"/>
  <c r="B125" i="17" s="1"/>
  <c r="B152" i="17" s="1"/>
  <c r="B179" i="17" s="1"/>
  <c r="B45" i="17"/>
  <c r="B72" i="17" s="1"/>
  <c r="B99" i="17" s="1"/>
  <c r="B126" i="17" s="1"/>
  <c r="B153" i="17" s="1"/>
  <c r="B180" i="17" s="1"/>
  <c r="B46" i="17"/>
  <c r="B73" i="17" s="1"/>
  <c r="B100" i="17" s="1"/>
  <c r="B127" i="17" s="1"/>
  <c r="B154" i="17" s="1"/>
  <c r="B181" i="17" s="1"/>
  <c r="B47" i="17"/>
  <c r="B74" i="17" s="1"/>
  <c r="B101" i="17" s="1"/>
  <c r="B128" i="17" s="1"/>
  <c r="B155" i="17" s="1"/>
  <c r="B182" i="17" s="1"/>
  <c r="B48" i="17"/>
  <c r="B75" i="17" s="1"/>
  <c r="B102" i="17" s="1"/>
  <c r="B129" i="17" s="1"/>
  <c r="B156" i="17" s="1"/>
  <c r="B183" i="17" s="1"/>
  <c r="B40" i="17"/>
  <c r="B67" i="17" s="1"/>
  <c r="B94" i="17" s="1"/>
  <c r="B121" i="17" s="1"/>
  <c r="B148" i="17" s="1"/>
  <c r="B175" i="17" s="1"/>
  <c r="J20" i="17"/>
  <c r="I20" i="17"/>
  <c r="H20" i="17"/>
  <c r="F20" i="17"/>
  <c r="E20" i="17"/>
  <c r="D20" i="17"/>
  <c r="C20" i="17"/>
  <c r="J72" i="17"/>
  <c r="H72" i="17"/>
  <c r="F72" i="17"/>
  <c r="E72" i="17"/>
  <c r="D72" i="17"/>
  <c r="C72" i="17"/>
  <c r="J175" i="17"/>
  <c r="H175" i="17"/>
  <c r="F175" i="17"/>
  <c r="J148" i="17"/>
  <c r="H148" i="17"/>
  <c r="F148" i="17"/>
  <c r="E148" i="17"/>
  <c r="J121" i="17"/>
  <c r="H121" i="17"/>
  <c r="F121" i="17"/>
  <c r="E121" i="17"/>
  <c r="C121" i="17"/>
  <c r="J94" i="17"/>
  <c r="H94" i="17"/>
  <c r="F94" i="17"/>
  <c r="E94" i="17"/>
  <c r="D94" i="17"/>
  <c r="C94" i="17"/>
  <c r="J67" i="17"/>
  <c r="H67" i="17"/>
  <c r="F67" i="17"/>
  <c r="E67" i="17"/>
  <c r="J40" i="17"/>
  <c r="H40" i="17"/>
  <c r="F40" i="17"/>
  <c r="C40" i="17"/>
  <c r="G13" i="17"/>
  <c r="A52" i="17"/>
  <c r="A79" i="17" s="1"/>
  <c r="A106" i="17" s="1"/>
  <c r="A133" i="17" s="1"/>
  <c r="A160" i="17" s="1"/>
  <c r="A187" i="17" s="1"/>
  <c r="A53" i="17"/>
  <c r="A80" i="17" s="1"/>
  <c r="A107" i="17" s="1"/>
  <c r="A134" i="17" s="1"/>
  <c r="A161" i="17" s="1"/>
  <c r="A188" i="17" s="1"/>
  <c r="A54" i="17"/>
  <c r="A81" i="17" s="1"/>
  <c r="A108" i="17" s="1"/>
  <c r="A135" i="17" s="1"/>
  <c r="A162" i="17" s="1"/>
  <c r="A189" i="17" s="1"/>
  <c r="A55" i="17"/>
  <c r="A82" i="17" s="1"/>
  <c r="A109" i="17" s="1"/>
  <c r="A136" i="17" s="1"/>
  <c r="A163" i="17" s="1"/>
  <c r="A190" i="17" s="1"/>
  <c r="A56" i="17"/>
  <c r="A83" i="17" s="1"/>
  <c r="A110" i="17" s="1"/>
  <c r="A137" i="17" s="1"/>
  <c r="A164" i="17" s="1"/>
  <c r="A191" i="17" s="1"/>
  <c r="A57" i="17"/>
  <c r="A84" i="17" s="1"/>
  <c r="A111" i="17" s="1"/>
  <c r="A138" i="17" s="1"/>
  <c r="A165" i="17" s="1"/>
  <c r="A192" i="17" s="1"/>
  <c r="A58" i="17"/>
  <c r="A85" i="17" s="1"/>
  <c r="A112" i="17" s="1"/>
  <c r="A139" i="17" s="1"/>
  <c r="A166" i="17" s="1"/>
  <c r="A193" i="17" s="1"/>
  <c r="A59" i="17"/>
  <c r="A86" i="17" s="1"/>
  <c r="A113" i="17" s="1"/>
  <c r="A140" i="17" s="1"/>
  <c r="A167" i="17" s="1"/>
  <c r="A194" i="17" s="1"/>
  <c r="A51" i="17"/>
  <c r="A78" i="17" s="1"/>
  <c r="A105" i="17" s="1"/>
  <c r="A132" i="17" s="1"/>
  <c r="A159" i="17" s="1"/>
  <c r="A186" i="17" s="1"/>
  <c r="B83" i="17"/>
  <c r="B110" i="17" s="1"/>
  <c r="B137" i="17" s="1"/>
  <c r="B164" i="17" s="1"/>
  <c r="B191" i="17" s="1"/>
  <c r="B82" i="17"/>
  <c r="B109" i="17" s="1"/>
  <c r="B136" i="17" s="1"/>
  <c r="B163" i="17" s="1"/>
  <c r="B190" i="17" s="1"/>
  <c r="B81" i="17"/>
  <c r="B108" i="17" s="1"/>
  <c r="B135" i="17" s="1"/>
  <c r="B162" i="17" s="1"/>
  <c r="B189" i="17" s="1"/>
  <c r="B80" i="17"/>
  <c r="B107" i="17" s="1"/>
  <c r="B134" i="17" s="1"/>
  <c r="B161" i="17" s="1"/>
  <c r="B188" i="17" s="1"/>
  <c r="B78" i="17"/>
  <c r="A37" i="15"/>
  <c r="A49" i="15"/>
  <c r="A61" i="15"/>
  <c r="A73" i="15"/>
  <c r="A85" i="15"/>
  <c r="B88" i="15"/>
  <c r="A97" i="15"/>
  <c r="A109" i="15"/>
  <c r="A121" i="15"/>
  <c r="A133" i="15"/>
  <c r="A145" i="15"/>
  <c r="J194" i="17"/>
  <c r="H194" i="17"/>
  <c r="F194" i="17"/>
  <c r="E194" i="17"/>
  <c r="D194" i="17"/>
  <c r="C194" i="17"/>
  <c r="J167" i="17"/>
  <c r="I167" i="17"/>
  <c r="H167" i="17"/>
  <c r="F167" i="17"/>
  <c r="E167" i="17"/>
  <c r="D167" i="17"/>
  <c r="C167" i="17"/>
  <c r="J140" i="17"/>
  <c r="I140" i="17"/>
  <c r="H140" i="17"/>
  <c r="F140" i="17"/>
  <c r="E140" i="17"/>
  <c r="D140" i="17"/>
  <c r="C140" i="17"/>
  <c r="J113" i="17"/>
  <c r="I113" i="17"/>
  <c r="H113" i="17"/>
  <c r="F113" i="17"/>
  <c r="C113" i="17"/>
  <c r="J86" i="17"/>
  <c r="I86" i="17"/>
  <c r="H86" i="17"/>
  <c r="F86" i="17"/>
  <c r="C86" i="17"/>
  <c r="J59" i="17"/>
  <c r="I59" i="17"/>
  <c r="H59" i="17"/>
  <c r="F59" i="17"/>
  <c r="C59" i="17"/>
  <c r="J32" i="17"/>
  <c r="I32" i="17"/>
  <c r="H32" i="17"/>
  <c r="F32" i="17"/>
  <c r="E32" i="17"/>
  <c r="C32" i="17"/>
  <c r="C135" i="17"/>
  <c r="C159" i="17"/>
  <c r="J132" i="17"/>
  <c r="H132" i="17"/>
  <c r="F132" i="17"/>
  <c r="E132" i="17"/>
  <c r="D132" i="17"/>
  <c r="G24" i="17"/>
  <c r="J1" i="17"/>
  <c r="C68" i="16"/>
  <c r="J130" i="16"/>
  <c r="H130" i="16"/>
  <c r="J129" i="16"/>
  <c r="I129" i="16"/>
  <c r="H129" i="16"/>
  <c r="J128" i="16"/>
  <c r="I128" i="16"/>
  <c r="H128" i="16"/>
  <c r="J127" i="16"/>
  <c r="I127" i="16"/>
  <c r="J126" i="16"/>
  <c r="I126" i="16"/>
  <c r="H126" i="16"/>
  <c r="J125" i="16"/>
  <c r="I125" i="16"/>
  <c r="H125" i="16"/>
  <c r="J124" i="16"/>
  <c r="I124" i="16"/>
  <c r="H124" i="16"/>
  <c r="F130" i="16"/>
  <c r="N130" i="16" s="1"/>
  <c r="F129" i="16"/>
  <c r="F128" i="16"/>
  <c r="N128" i="16" s="1"/>
  <c r="F127" i="16"/>
  <c r="N127" i="16" s="1"/>
  <c r="F126" i="16"/>
  <c r="F125" i="16"/>
  <c r="N125" i="16" s="1"/>
  <c r="F124" i="16"/>
  <c r="N124" i="16" s="1"/>
  <c r="E130" i="16"/>
  <c r="D130" i="16"/>
  <c r="L130" i="16" s="1"/>
  <c r="E129" i="16"/>
  <c r="D129" i="16"/>
  <c r="E128" i="16"/>
  <c r="M128" i="16" s="1"/>
  <c r="D128" i="16"/>
  <c r="L128" i="16" s="1"/>
  <c r="E124" i="16"/>
  <c r="M124" i="16" s="1"/>
  <c r="A132" i="16"/>
  <c r="C130" i="16"/>
  <c r="C129" i="16"/>
  <c r="C128" i="16"/>
  <c r="C127" i="16"/>
  <c r="C126" i="16"/>
  <c r="C125" i="16"/>
  <c r="C124" i="16"/>
  <c r="T124" i="16" s="1"/>
  <c r="A120" i="16"/>
  <c r="B99" i="16"/>
  <c r="A108" i="16"/>
  <c r="A96" i="16"/>
  <c r="B87" i="16"/>
  <c r="B75" i="16"/>
  <c r="B63" i="16"/>
  <c r="A84" i="16"/>
  <c r="A72" i="16"/>
  <c r="A36" i="16"/>
  <c r="A48" i="16"/>
  <c r="A60" i="16"/>
  <c r="B51" i="16"/>
  <c r="B39" i="16"/>
  <c r="J32" i="16"/>
  <c r="H32" i="16"/>
  <c r="D32" i="16"/>
  <c r="L32" i="16" s="1"/>
  <c r="E32" i="16"/>
  <c r="M32" i="16" s="1"/>
  <c r="F32" i="16"/>
  <c r="N32" i="16" s="1"/>
  <c r="C33" i="16"/>
  <c r="T33" i="16" s="1"/>
  <c r="B27" i="16"/>
  <c r="J142" i="16"/>
  <c r="I142" i="16"/>
  <c r="H142" i="16"/>
  <c r="F142" i="16"/>
  <c r="N142" i="16" s="1"/>
  <c r="E142" i="16"/>
  <c r="M142" i="16" s="1"/>
  <c r="J141" i="16"/>
  <c r="I141" i="16"/>
  <c r="H141" i="16"/>
  <c r="F141" i="16"/>
  <c r="E141" i="16"/>
  <c r="M141" i="16" s="1"/>
  <c r="D141" i="16"/>
  <c r="L141" i="16" s="1"/>
  <c r="J140" i="16"/>
  <c r="I140" i="16"/>
  <c r="H140" i="16"/>
  <c r="F140" i="16"/>
  <c r="J139" i="16"/>
  <c r="I139" i="16"/>
  <c r="H139" i="16"/>
  <c r="F139" i="16"/>
  <c r="N139" i="16" s="1"/>
  <c r="E139" i="16"/>
  <c r="M139" i="16" s="1"/>
  <c r="D139" i="16"/>
  <c r="L139" i="16" s="1"/>
  <c r="J138" i="16"/>
  <c r="I138" i="16"/>
  <c r="H138" i="16"/>
  <c r="F138" i="16"/>
  <c r="J137" i="16"/>
  <c r="I137" i="16"/>
  <c r="H137" i="16"/>
  <c r="F137" i="16"/>
  <c r="N137" i="16" s="1"/>
  <c r="B135" i="16"/>
  <c r="B34" i="16"/>
  <c r="B46" i="16" s="1"/>
  <c r="B58" i="16" s="1"/>
  <c r="B70" i="16" s="1"/>
  <c r="B82" i="16" s="1"/>
  <c r="B94" i="16" s="1"/>
  <c r="B106" i="16" s="1"/>
  <c r="B118" i="16" s="1"/>
  <c r="B130" i="16" s="1"/>
  <c r="B142" i="16" s="1"/>
  <c r="B33" i="16"/>
  <c r="B45" i="16" s="1"/>
  <c r="B57" i="16" s="1"/>
  <c r="B69" i="16" s="1"/>
  <c r="B81" i="16" s="1"/>
  <c r="B93" i="16" s="1"/>
  <c r="B105" i="16" s="1"/>
  <c r="B117" i="16" s="1"/>
  <c r="B129" i="16" s="1"/>
  <c r="B141" i="16" s="1"/>
  <c r="B32" i="16"/>
  <c r="B44" i="16" s="1"/>
  <c r="B56" i="16" s="1"/>
  <c r="B68" i="16" s="1"/>
  <c r="B80" i="16" s="1"/>
  <c r="B92" i="16" s="1"/>
  <c r="B104" i="16" s="1"/>
  <c r="B116" i="16" s="1"/>
  <c r="B128" i="16" s="1"/>
  <c r="B140" i="16" s="1"/>
  <c r="B31" i="16"/>
  <c r="B43" i="16" s="1"/>
  <c r="B55" i="16" s="1"/>
  <c r="B67" i="16" s="1"/>
  <c r="B79" i="16" s="1"/>
  <c r="B91" i="16" s="1"/>
  <c r="B103" i="16" s="1"/>
  <c r="B115" i="16" s="1"/>
  <c r="B127" i="16" s="1"/>
  <c r="B139" i="16" s="1"/>
  <c r="B30" i="16"/>
  <c r="B42" i="16" s="1"/>
  <c r="B54" i="16" s="1"/>
  <c r="B66" i="16" s="1"/>
  <c r="B78" i="16" s="1"/>
  <c r="B90" i="16" s="1"/>
  <c r="B102" i="16" s="1"/>
  <c r="B114" i="16" s="1"/>
  <c r="B126" i="16" s="1"/>
  <c r="B138" i="16" s="1"/>
  <c r="B29" i="16"/>
  <c r="B41" i="16" s="1"/>
  <c r="B53" i="16" s="1"/>
  <c r="B65" i="16" s="1"/>
  <c r="B77" i="16" s="1"/>
  <c r="B89" i="16" s="1"/>
  <c r="B101" i="16" s="1"/>
  <c r="B113" i="16" s="1"/>
  <c r="B125" i="16" s="1"/>
  <c r="B137" i="16" s="1"/>
  <c r="G28" i="16"/>
  <c r="B28" i="16"/>
  <c r="B40" i="16" s="1"/>
  <c r="B52" i="16" s="1"/>
  <c r="B64" i="16" s="1"/>
  <c r="B76" i="16" s="1"/>
  <c r="B88" i="16" s="1"/>
  <c r="B100" i="16" s="1"/>
  <c r="B112" i="16" s="1"/>
  <c r="B124" i="16" s="1"/>
  <c r="B136" i="16" s="1"/>
  <c r="R8" i="16"/>
  <c r="P8" i="16"/>
  <c r="J1" i="16"/>
  <c r="J40" i="10"/>
  <c r="H40" i="10"/>
  <c r="D40" i="10"/>
  <c r="E40" i="10"/>
  <c r="F40" i="10"/>
  <c r="C40" i="10"/>
  <c r="J14" i="10"/>
  <c r="I14" i="10"/>
  <c r="H14" i="10"/>
  <c r="F14" i="10"/>
  <c r="C14" i="10"/>
  <c r="C13" i="10" s="1"/>
  <c r="N126" i="16" l="1"/>
  <c r="N138" i="16"/>
  <c r="N141" i="16"/>
  <c r="L129" i="16"/>
  <c r="N140" i="16"/>
  <c r="M129" i="16"/>
  <c r="N129" i="16"/>
  <c r="E104" i="15"/>
  <c r="E100" i="17"/>
  <c r="E92" i="15"/>
  <c r="E99" i="17"/>
  <c r="D30" i="16"/>
  <c r="L30" i="16" s="1"/>
  <c r="D78" i="17"/>
  <c r="E51" i="17"/>
  <c r="E29" i="16"/>
  <c r="M29" i="16" s="1"/>
  <c r="E93" i="3"/>
  <c r="T94" i="2"/>
  <c r="A11" i="17"/>
  <c r="B105" i="17"/>
  <c r="B132" i="17" s="1"/>
  <c r="B159" i="17" s="1"/>
  <c r="B79" i="17"/>
  <c r="B106" i="17" s="1"/>
  <c r="B133" i="17" s="1"/>
  <c r="B160" i="17" s="1"/>
  <c r="B187" i="17" s="1"/>
  <c r="C132" i="16"/>
  <c r="F132" i="16"/>
  <c r="N132" i="16" s="1"/>
  <c r="H132" i="16"/>
  <c r="J132" i="16"/>
  <c r="H21" i="16"/>
  <c r="I21" i="16"/>
  <c r="J21" i="16"/>
  <c r="F48" i="4"/>
  <c r="C48" i="4"/>
  <c r="J48" i="4"/>
  <c r="H48" i="4"/>
  <c r="F21" i="16" l="1"/>
  <c r="N21" i="16" s="1"/>
  <c r="N144" i="16"/>
  <c r="E30" i="16"/>
  <c r="M30" i="16" s="1"/>
  <c r="E78" i="17"/>
  <c r="T94" i="3"/>
  <c r="T93" i="2"/>
  <c r="B186" i="17"/>
  <c r="B84" i="17"/>
  <c r="B111" i="17" s="1"/>
  <c r="B138" i="17" s="1"/>
  <c r="E13" i="2"/>
  <c r="D95" i="7"/>
  <c r="E95" i="7"/>
  <c r="F95" i="7"/>
  <c r="J95" i="7"/>
  <c r="C95" i="7"/>
  <c r="E99" i="7"/>
  <c r="E118" i="16" s="1"/>
  <c r="F99" i="7"/>
  <c r="F118" i="16" s="1"/>
  <c r="H99" i="7"/>
  <c r="J99" i="7"/>
  <c r="D99" i="6"/>
  <c r="D117" i="16" s="1"/>
  <c r="E99" i="6"/>
  <c r="E117" i="16" s="1"/>
  <c r="F99" i="6"/>
  <c r="F117" i="16" s="1"/>
  <c r="H99" i="6"/>
  <c r="I99" i="6"/>
  <c r="J99" i="6"/>
  <c r="D29" i="6"/>
  <c r="D46" i="15" s="1"/>
  <c r="E29" i="6"/>
  <c r="E149" i="17" s="1"/>
  <c r="F29" i="6"/>
  <c r="H29" i="6"/>
  <c r="J29" i="6"/>
  <c r="C29" i="6"/>
  <c r="D33" i="6"/>
  <c r="F33" i="6"/>
  <c r="H33" i="6"/>
  <c r="J33" i="6"/>
  <c r="C33" i="6"/>
  <c r="D41" i="6"/>
  <c r="E41" i="6"/>
  <c r="F41" i="6"/>
  <c r="H41" i="6"/>
  <c r="I41" i="6"/>
  <c r="J41" i="6"/>
  <c r="C41" i="6"/>
  <c r="D48" i="6"/>
  <c r="E48" i="6"/>
  <c r="F48" i="6"/>
  <c r="H48" i="6"/>
  <c r="J48" i="6"/>
  <c r="C48" i="6"/>
  <c r="D66" i="6"/>
  <c r="E66" i="6"/>
  <c r="F66" i="6"/>
  <c r="J66" i="6"/>
  <c r="C66" i="6"/>
  <c r="E71" i="6"/>
  <c r="F71" i="6"/>
  <c r="H71" i="6"/>
  <c r="J71" i="6"/>
  <c r="C71" i="6"/>
  <c r="D33" i="5"/>
  <c r="E33" i="5"/>
  <c r="F33" i="5"/>
  <c r="H33" i="5"/>
  <c r="J33" i="5"/>
  <c r="C33" i="5"/>
  <c r="E71" i="5"/>
  <c r="F71" i="5"/>
  <c r="H71" i="5"/>
  <c r="J71" i="5"/>
  <c r="C71" i="5"/>
  <c r="D66" i="5"/>
  <c r="E66" i="5"/>
  <c r="F66" i="5"/>
  <c r="H66" i="5"/>
  <c r="J66" i="5"/>
  <c r="C66" i="5"/>
  <c r="D48" i="5"/>
  <c r="E48" i="5"/>
  <c r="F48" i="5"/>
  <c r="H48" i="5"/>
  <c r="J48" i="5"/>
  <c r="C48" i="5"/>
  <c r="D41" i="5"/>
  <c r="E41" i="5"/>
  <c r="F41" i="5"/>
  <c r="H41" i="5"/>
  <c r="J41" i="5"/>
  <c r="C41" i="5"/>
  <c r="D29" i="5"/>
  <c r="D122" i="17" s="1"/>
  <c r="E29" i="5"/>
  <c r="E224" i="9" s="1"/>
  <c r="F29" i="5"/>
  <c r="H29" i="5"/>
  <c r="J29" i="5"/>
  <c r="C29" i="5"/>
  <c r="C45" i="15" s="1"/>
  <c r="F99" i="4"/>
  <c r="F115" i="16" s="1"/>
  <c r="H99" i="4"/>
  <c r="I99" i="4"/>
  <c r="J99" i="4"/>
  <c r="F71" i="4"/>
  <c r="H71" i="4"/>
  <c r="J71" i="4"/>
  <c r="C71" i="4"/>
  <c r="D41" i="4"/>
  <c r="E41" i="4"/>
  <c r="F41" i="4"/>
  <c r="H41" i="4"/>
  <c r="J41" i="4"/>
  <c r="C41" i="4"/>
  <c r="J33" i="4"/>
  <c r="H33" i="4"/>
  <c r="E33" i="4"/>
  <c r="F33" i="4"/>
  <c r="C33" i="4"/>
  <c r="J29" i="4"/>
  <c r="J44" i="15" s="1"/>
  <c r="H29" i="4"/>
  <c r="F29" i="4"/>
  <c r="C29" i="4"/>
  <c r="C44" i="15" s="1"/>
  <c r="J99" i="3"/>
  <c r="I99" i="3"/>
  <c r="H99" i="3"/>
  <c r="H102" i="3" s="1"/>
  <c r="F99" i="3"/>
  <c r="F114" i="16" s="1"/>
  <c r="D95" i="3"/>
  <c r="E95" i="3"/>
  <c r="F102" i="3"/>
  <c r="C95" i="3"/>
  <c r="T95" i="3" s="1"/>
  <c r="J29" i="2"/>
  <c r="J41" i="17" s="1"/>
  <c r="H29" i="2"/>
  <c r="D29" i="2"/>
  <c r="D41" i="17" s="1"/>
  <c r="E29" i="2"/>
  <c r="E42" i="15" s="1"/>
  <c r="F29" i="2"/>
  <c r="F221" i="9" s="1"/>
  <c r="C29" i="2"/>
  <c r="J99" i="2"/>
  <c r="I99" i="2"/>
  <c r="H99" i="2"/>
  <c r="F99" i="2"/>
  <c r="F113" i="16" s="1"/>
  <c r="J71" i="2"/>
  <c r="H71" i="2"/>
  <c r="E71" i="2"/>
  <c r="F71" i="2"/>
  <c r="C71" i="2"/>
  <c r="J66" i="2"/>
  <c r="I66" i="2"/>
  <c r="H66" i="2"/>
  <c r="D66" i="2"/>
  <c r="E66" i="2"/>
  <c r="F66" i="2"/>
  <c r="C66" i="2"/>
  <c r="J48" i="2"/>
  <c r="J41" i="2"/>
  <c r="H41" i="2"/>
  <c r="E48" i="2"/>
  <c r="F48" i="2"/>
  <c r="C48" i="2"/>
  <c r="D41" i="2"/>
  <c r="E41" i="2"/>
  <c r="F41" i="2"/>
  <c r="C41" i="2"/>
  <c r="J34" i="3"/>
  <c r="H34" i="3"/>
  <c r="D34" i="3"/>
  <c r="F34" i="3"/>
  <c r="C34" i="3"/>
  <c r="F33" i="2"/>
  <c r="E33" i="2"/>
  <c r="D33" i="2"/>
  <c r="C33" i="2"/>
  <c r="J33" i="2"/>
  <c r="H33" i="2"/>
  <c r="J143" i="15"/>
  <c r="I143" i="15"/>
  <c r="H143" i="15"/>
  <c r="J142" i="15"/>
  <c r="I142" i="15"/>
  <c r="H142" i="15"/>
  <c r="J141" i="15"/>
  <c r="I141" i="15"/>
  <c r="H141" i="15"/>
  <c r="J140" i="15"/>
  <c r="I140" i="15"/>
  <c r="H140" i="15"/>
  <c r="J139" i="15"/>
  <c r="I139" i="15"/>
  <c r="H139" i="15"/>
  <c r="J138" i="15"/>
  <c r="I138" i="15"/>
  <c r="H138" i="15"/>
  <c r="F138" i="15"/>
  <c r="F139" i="15"/>
  <c r="D140" i="15"/>
  <c r="E140" i="15"/>
  <c r="F140" i="15"/>
  <c r="F141" i="15"/>
  <c r="D142" i="15"/>
  <c r="E142" i="15"/>
  <c r="F142" i="15"/>
  <c r="E143" i="15"/>
  <c r="F143" i="15"/>
  <c r="C113" i="15"/>
  <c r="C121" i="15" s="1"/>
  <c r="B136" i="15"/>
  <c r="D113" i="15"/>
  <c r="E113" i="15"/>
  <c r="F113" i="15"/>
  <c r="J91" i="15"/>
  <c r="H91" i="15"/>
  <c r="D91" i="15"/>
  <c r="E91" i="15"/>
  <c r="F91" i="15"/>
  <c r="C91" i="15"/>
  <c r="T24" i="15"/>
  <c r="B124" i="15"/>
  <c r="J113" i="15"/>
  <c r="I113" i="15"/>
  <c r="H113" i="15"/>
  <c r="B112" i="15"/>
  <c r="B100" i="15"/>
  <c r="B76" i="15"/>
  <c r="B64" i="15"/>
  <c r="B52" i="15"/>
  <c r="B40" i="15"/>
  <c r="B28" i="15"/>
  <c r="G29" i="15"/>
  <c r="B29" i="15"/>
  <c r="B41" i="15" s="1"/>
  <c r="B53" i="15" s="1"/>
  <c r="B65" i="15" s="1"/>
  <c r="B77" i="15" s="1"/>
  <c r="B89" i="15" s="1"/>
  <c r="B101" i="15" s="1"/>
  <c r="B113" i="15" s="1"/>
  <c r="B125" i="15" s="1"/>
  <c r="B137" i="15" s="1"/>
  <c r="F46" i="15"/>
  <c r="H44" i="15"/>
  <c r="D42" i="15"/>
  <c r="C42" i="15"/>
  <c r="J35" i="15"/>
  <c r="H35" i="15"/>
  <c r="F35" i="15"/>
  <c r="B47" i="15"/>
  <c r="B59" i="15" s="1"/>
  <c r="B71" i="15" s="1"/>
  <c r="B83" i="15" s="1"/>
  <c r="B95" i="15" s="1"/>
  <c r="B107" i="15" s="1"/>
  <c r="B119" i="15" s="1"/>
  <c r="B131" i="15" s="1"/>
  <c r="B143" i="15" s="1"/>
  <c r="J34" i="15"/>
  <c r="H34" i="15"/>
  <c r="F34" i="15"/>
  <c r="E34" i="15"/>
  <c r="B46" i="15"/>
  <c r="B58" i="15" s="1"/>
  <c r="B70" i="15" s="1"/>
  <c r="B82" i="15" s="1"/>
  <c r="B94" i="15" s="1"/>
  <c r="B106" i="15" s="1"/>
  <c r="B118" i="15" s="1"/>
  <c r="B130" i="15" s="1"/>
  <c r="B142" i="15" s="1"/>
  <c r="J33" i="15"/>
  <c r="H33" i="15"/>
  <c r="F33" i="15"/>
  <c r="E33" i="15"/>
  <c r="C33" i="15"/>
  <c r="B45" i="15"/>
  <c r="B57" i="15" s="1"/>
  <c r="B69" i="15" s="1"/>
  <c r="B81" i="15" s="1"/>
  <c r="B93" i="15" s="1"/>
  <c r="B105" i="15" s="1"/>
  <c r="B117" i="15" s="1"/>
  <c r="B129" i="15" s="1"/>
  <c r="B141" i="15" s="1"/>
  <c r="J32" i="15"/>
  <c r="H32" i="15"/>
  <c r="F32" i="15"/>
  <c r="E32" i="15"/>
  <c r="D32" i="15"/>
  <c r="C32" i="15"/>
  <c r="B44" i="15"/>
  <c r="B56" i="15" s="1"/>
  <c r="B68" i="15" s="1"/>
  <c r="B80" i="15" s="1"/>
  <c r="B92" i="15" s="1"/>
  <c r="B104" i="15" s="1"/>
  <c r="B116" i="15" s="1"/>
  <c r="B128" i="15" s="1"/>
  <c r="B140" i="15" s="1"/>
  <c r="J31" i="15"/>
  <c r="H31" i="15"/>
  <c r="F31" i="15"/>
  <c r="E31" i="15"/>
  <c r="B43" i="15"/>
  <c r="B55" i="15" s="1"/>
  <c r="B67" i="15" s="1"/>
  <c r="B79" i="15" s="1"/>
  <c r="B91" i="15" s="1"/>
  <c r="B103" i="15" s="1"/>
  <c r="B115" i="15" s="1"/>
  <c r="B127" i="15" s="1"/>
  <c r="B139" i="15" s="1"/>
  <c r="J30" i="15"/>
  <c r="H30" i="15"/>
  <c r="F30" i="15"/>
  <c r="C30" i="15"/>
  <c r="B42" i="15"/>
  <c r="B54" i="15" s="1"/>
  <c r="B66" i="15" s="1"/>
  <c r="B78" i="15" s="1"/>
  <c r="B90" i="15" s="1"/>
  <c r="B102" i="15" s="1"/>
  <c r="B114" i="15" s="1"/>
  <c r="B126" i="15" s="1"/>
  <c r="B138" i="15" s="1"/>
  <c r="J1" i="15"/>
  <c r="H225" i="9"/>
  <c r="F225" i="9"/>
  <c r="D224" i="9"/>
  <c r="D221" i="9"/>
  <c r="C221" i="9"/>
  <c r="F213" i="9"/>
  <c r="H213" i="9"/>
  <c r="J213" i="9"/>
  <c r="E214" i="9"/>
  <c r="F214" i="9"/>
  <c r="H214" i="9"/>
  <c r="J214" i="9"/>
  <c r="D215" i="9"/>
  <c r="E215" i="9"/>
  <c r="F215" i="9"/>
  <c r="H215" i="9"/>
  <c r="J215" i="9"/>
  <c r="E216" i="9"/>
  <c r="F216" i="9"/>
  <c r="H216" i="9"/>
  <c r="J216" i="9"/>
  <c r="E217" i="9"/>
  <c r="F217" i="9"/>
  <c r="H217" i="9"/>
  <c r="J217" i="9"/>
  <c r="F218" i="9"/>
  <c r="H218" i="9"/>
  <c r="J218" i="9"/>
  <c r="C216" i="9"/>
  <c r="C215" i="9"/>
  <c r="C213" i="9"/>
  <c r="B218" i="9"/>
  <c r="B226" i="9" s="1"/>
  <c r="B234" i="9" s="1"/>
  <c r="B217" i="9"/>
  <c r="B225" i="9" s="1"/>
  <c r="B233" i="9" s="1"/>
  <c r="B216" i="9"/>
  <c r="B224" i="9" s="1"/>
  <c r="B232" i="9" s="1"/>
  <c r="B215" i="9"/>
  <c r="B223" i="9" s="1"/>
  <c r="B231" i="9" s="1"/>
  <c r="B214" i="9"/>
  <c r="B222" i="9" s="1"/>
  <c r="B230" i="9" s="1"/>
  <c r="B213" i="9"/>
  <c r="B221" i="9" s="1"/>
  <c r="B229" i="9" s="1"/>
  <c r="N113" i="16" l="1"/>
  <c r="N117" i="16"/>
  <c r="N114" i="16"/>
  <c r="N118" i="16"/>
  <c r="J32" i="6"/>
  <c r="J150" i="17" s="1"/>
  <c r="J157" i="17" s="1"/>
  <c r="F32" i="6"/>
  <c r="F89" i="6" s="1"/>
  <c r="C32" i="6"/>
  <c r="J149" i="17"/>
  <c r="F149" i="17"/>
  <c r="J32" i="5"/>
  <c r="J123" i="17" s="1"/>
  <c r="F32" i="5"/>
  <c r="F123" i="17" s="1"/>
  <c r="J102" i="3"/>
  <c r="C224" i="9"/>
  <c r="J42" i="15"/>
  <c r="J221" i="9"/>
  <c r="J223" i="9"/>
  <c r="E32" i="6"/>
  <c r="E45" i="15"/>
  <c r="I102" i="3"/>
  <c r="C150" i="17"/>
  <c r="E32" i="5"/>
  <c r="E123" i="17" s="1"/>
  <c r="E40" i="17"/>
  <c r="C41" i="17"/>
  <c r="C32" i="5"/>
  <c r="C123" i="17" s="1"/>
  <c r="D45" i="15"/>
  <c r="H32" i="5"/>
  <c r="H123" i="17" s="1"/>
  <c r="C189" i="17"/>
  <c r="C70" i="16"/>
  <c r="J193" i="17"/>
  <c r="E193" i="17"/>
  <c r="D70" i="16"/>
  <c r="D189" i="17"/>
  <c r="H193" i="17"/>
  <c r="F102" i="7"/>
  <c r="F70" i="16"/>
  <c r="N70" i="16" s="1"/>
  <c r="F189" i="17"/>
  <c r="F193" i="17"/>
  <c r="J102" i="7"/>
  <c r="J189" i="17"/>
  <c r="J70" i="16"/>
  <c r="E102" i="7"/>
  <c r="E189" i="17"/>
  <c r="E70" i="16"/>
  <c r="M117" i="16"/>
  <c r="I166" i="17"/>
  <c r="C225" i="9"/>
  <c r="C149" i="17"/>
  <c r="J166" i="17"/>
  <c r="E166" i="17"/>
  <c r="J46" i="15"/>
  <c r="D225" i="9"/>
  <c r="D149" i="17"/>
  <c r="H166" i="17"/>
  <c r="L117" i="16"/>
  <c r="D166" i="17"/>
  <c r="E225" i="9"/>
  <c r="J225" i="9"/>
  <c r="E46" i="15"/>
  <c r="H46" i="15"/>
  <c r="H149" i="17"/>
  <c r="F166" i="17"/>
  <c r="F45" i="15"/>
  <c r="F122" i="17"/>
  <c r="F89" i="5"/>
  <c r="J224" i="9"/>
  <c r="J89" i="5"/>
  <c r="J122" i="17"/>
  <c r="E122" i="17"/>
  <c r="H45" i="15"/>
  <c r="H122" i="17"/>
  <c r="H224" i="9"/>
  <c r="C122" i="17"/>
  <c r="C223" i="9"/>
  <c r="J95" i="17"/>
  <c r="C95" i="17"/>
  <c r="F44" i="15"/>
  <c r="F95" i="17"/>
  <c r="N115" i="16"/>
  <c r="J112" i="17"/>
  <c r="H223" i="9"/>
  <c r="H95" i="17"/>
  <c r="F112" i="17"/>
  <c r="I112" i="17"/>
  <c r="F223" i="9"/>
  <c r="H112" i="17"/>
  <c r="T93" i="3"/>
  <c r="J145" i="15"/>
  <c r="J36" i="11" s="1"/>
  <c r="F85" i="17"/>
  <c r="E66" i="16"/>
  <c r="M66" i="16" s="1"/>
  <c r="E81" i="17"/>
  <c r="J66" i="16"/>
  <c r="J81" i="17"/>
  <c r="J85" i="17"/>
  <c r="D81" i="17"/>
  <c r="D66" i="16"/>
  <c r="L66" i="16" s="1"/>
  <c r="C81" i="17"/>
  <c r="C66" i="16"/>
  <c r="T66" i="16" s="1"/>
  <c r="H81" i="17"/>
  <c r="H66" i="16"/>
  <c r="H85" i="17"/>
  <c r="F81" i="17"/>
  <c r="F66" i="16"/>
  <c r="I81" i="17"/>
  <c r="I66" i="16"/>
  <c r="I85" i="17"/>
  <c r="H145" i="15"/>
  <c r="H22" i="15" s="1"/>
  <c r="F145" i="15"/>
  <c r="I145" i="15"/>
  <c r="I58" i="17"/>
  <c r="E221" i="9"/>
  <c r="E41" i="17"/>
  <c r="F58" i="17"/>
  <c r="J58" i="17"/>
  <c r="H221" i="9"/>
  <c r="H41" i="17"/>
  <c r="H58" i="17"/>
  <c r="F42" i="15"/>
  <c r="F41" i="17"/>
  <c r="F121" i="15"/>
  <c r="F20" i="15" s="1"/>
  <c r="F34" i="11" s="1"/>
  <c r="F219" i="9"/>
  <c r="H219" i="9"/>
  <c r="J219" i="9"/>
  <c r="I121" i="15"/>
  <c r="I20" i="15" s="1"/>
  <c r="I34" i="11" s="1"/>
  <c r="E121" i="15"/>
  <c r="E20" i="15" s="1"/>
  <c r="E34" i="11" s="1"/>
  <c r="H121" i="15"/>
  <c r="H20" i="15" s="1"/>
  <c r="H34" i="11" s="1"/>
  <c r="J121" i="15"/>
  <c r="J20" i="15" s="1"/>
  <c r="J34" i="11" s="1"/>
  <c r="D121" i="15"/>
  <c r="D20" i="15" s="1"/>
  <c r="D34" i="11" s="1"/>
  <c r="B165" i="17"/>
  <c r="C46" i="15"/>
  <c r="F224" i="9"/>
  <c r="J45" i="15"/>
  <c r="H42" i="15"/>
  <c r="C20" i="15"/>
  <c r="C34" i="11" s="1"/>
  <c r="E193" i="9"/>
  <c r="F193" i="9"/>
  <c r="D193" i="9"/>
  <c r="K179" i="9"/>
  <c r="O179" i="9"/>
  <c r="K180" i="9"/>
  <c r="O180" i="9"/>
  <c r="K181" i="9"/>
  <c r="O181" i="9"/>
  <c r="K182" i="9"/>
  <c r="O182" i="9"/>
  <c r="K183" i="9"/>
  <c r="O183" i="9"/>
  <c r="K184" i="9"/>
  <c r="O184" i="9"/>
  <c r="K194" i="9"/>
  <c r="O194" i="9"/>
  <c r="K195" i="9"/>
  <c r="O195" i="9"/>
  <c r="J187" i="9"/>
  <c r="K187" i="9"/>
  <c r="O187" i="9"/>
  <c r="J189" i="9"/>
  <c r="K189" i="9"/>
  <c r="O189" i="9"/>
  <c r="D189" i="9"/>
  <c r="E189" i="9"/>
  <c r="F189" i="9"/>
  <c r="G189" i="9"/>
  <c r="H189" i="9"/>
  <c r="C189" i="9"/>
  <c r="D187" i="9"/>
  <c r="E187" i="9"/>
  <c r="F187" i="9"/>
  <c r="G187" i="9"/>
  <c r="H187" i="9"/>
  <c r="C187" i="9"/>
  <c r="N66" i="16" l="1"/>
  <c r="F150" i="17"/>
  <c r="J89" i="6"/>
  <c r="F157" i="17"/>
  <c r="F130" i="17"/>
  <c r="J195" i="17"/>
  <c r="J130" i="17"/>
  <c r="E89" i="5"/>
  <c r="C89" i="5"/>
  <c r="E150" i="17"/>
  <c r="E89" i="6"/>
  <c r="E130" i="17"/>
  <c r="H130" i="17"/>
  <c r="C130" i="17"/>
  <c r="H89" i="5"/>
  <c r="E195" i="17"/>
  <c r="F195" i="17"/>
  <c r="F87" i="17"/>
  <c r="I87" i="17"/>
  <c r="J87" i="17"/>
  <c r="H87" i="17"/>
  <c r="B192" i="17"/>
  <c r="H36" i="11"/>
  <c r="J22" i="15"/>
  <c r="I36" i="11"/>
  <c r="I22" i="15"/>
  <c r="F36" i="11"/>
  <c r="F22" i="15"/>
  <c r="E157" i="17" l="1"/>
  <c r="B184" i="9"/>
  <c r="B191" i="9" s="1"/>
  <c r="B183" i="9"/>
  <c r="B190" i="9" s="1"/>
  <c r="B182" i="9"/>
  <c r="B189" i="9" s="1"/>
  <c r="B181" i="9"/>
  <c r="B188" i="9" s="1"/>
  <c r="B180" i="9"/>
  <c r="B187" i="9" s="1"/>
  <c r="B179" i="9"/>
  <c r="B186" i="9" s="1"/>
  <c r="T14" i="7" l="1"/>
  <c r="T16" i="7"/>
  <c r="T17" i="7"/>
  <c r="T18" i="7"/>
  <c r="T20" i="7"/>
  <c r="T22" i="7"/>
  <c r="T23" i="7"/>
  <c r="T24" i="7"/>
  <c r="T25" i="7"/>
  <c r="T26" i="7"/>
  <c r="T27" i="7"/>
  <c r="T28" i="7"/>
  <c r="T31" i="7"/>
  <c r="T35" i="7"/>
  <c r="T37" i="7"/>
  <c r="T38" i="7"/>
  <c r="T39" i="7"/>
  <c r="T40" i="7"/>
  <c r="T43" i="7"/>
  <c r="T44" i="7"/>
  <c r="T45" i="7"/>
  <c r="T47" i="7"/>
  <c r="T50" i="7"/>
  <c r="T51" i="7"/>
  <c r="T52" i="7"/>
  <c r="T53" i="7"/>
  <c r="T54" i="7"/>
  <c r="T55" i="7"/>
  <c r="T57" i="7"/>
  <c r="T59" i="7"/>
  <c r="T60" i="7"/>
  <c r="T61" i="7"/>
  <c r="T63" i="7"/>
  <c r="T65" i="7"/>
  <c r="T68" i="7"/>
  <c r="T70" i="7"/>
  <c r="T73" i="7"/>
  <c r="T75" i="7"/>
  <c r="T76" i="7"/>
  <c r="T77" i="7"/>
  <c r="T78" i="7"/>
  <c r="T79" i="7"/>
  <c r="T81" i="7"/>
  <c r="T82" i="7"/>
  <c r="T95" i="7"/>
  <c r="T96" i="7"/>
  <c r="J29" i="7"/>
  <c r="F29" i="7"/>
  <c r="J1" i="7"/>
  <c r="T14" i="6"/>
  <c r="T16" i="6"/>
  <c r="T17" i="6"/>
  <c r="T20" i="6"/>
  <c r="T22" i="6"/>
  <c r="T24" i="6"/>
  <c r="T25" i="6"/>
  <c r="T26" i="6"/>
  <c r="T27" i="6"/>
  <c r="T28" i="6"/>
  <c r="T31" i="6"/>
  <c r="T35" i="6"/>
  <c r="T37" i="6"/>
  <c r="T38" i="6"/>
  <c r="T39" i="6"/>
  <c r="T40" i="6"/>
  <c r="T43" i="6"/>
  <c r="T44" i="6"/>
  <c r="T45" i="6"/>
  <c r="T47" i="6"/>
  <c r="T50" i="6"/>
  <c r="T51" i="6"/>
  <c r="T52" i="6"/>
  <c r="T53" i="6"/>
  <c r="T54" i="6"/>
  <c r="T55" i="6"/>
  <c r="T57" i="6"/>
  <c r="T59" i="6"/>
  <c r="T60" i="6"/>
  <c r="T61" i="6"/>
  <c r="T63" i="6"/>
  <c r="T65" i="6"/>
  <c r="T68" i="6"/>
  <c r="T70" i="6"/>
  <c r="T73" i="6"/>
  <c r="T75" i="6"/>
  <c r="T76" i="6"/>
  <c r="T77" i="6"/>
  <c r="T78" i="6"/>
  <c r="T79" i="6"/>
  <c r="T81" i="6"/>
  <c r="T93" i="6"/>
  <c r="T94" i="6"/>
  <c r="J95" i="6"/>
  <c r="J93" i="6"/>
  <c r="F95" i="6"/>
  <c r="F93" i="6"/>
  <c r="J1" i="5"/>
  <c r="T14" i="5"/>
  <c r="T16" i="5"/>
  <c r="T24" i="5"/>
  <c r="T26" i="5"/>
  <c r="T35" i="5"/>
  <c r="T37" i="5"/>
  <c r="T38" i="5"/>
  <c r="T39" i="5"/>
  <c r="T40" i="5"/>
  <c r="T43" i="5"/>
  <c r="T44" i="5"/>
  <c r="T45" i="5"/>
  <c r="T47" i="5"/>
  <c r="T50" i="5"/>
  <c r="T51" i="5"/>
  <c r="T52" i="5"/>
  <c r="T54" i="5"/>
  <c r="T55" i="5"/>
  <c r="T57" i="5"/>
  <c r="T59" i="5"/>
  <c r="T60" i="5"/>
  <c r="T61" i="5"/>
  <c r="T63" i="5"/>
  <c r="T65" i="5"/>
  <c r="T68" i="5"/>
  <c r="T69" i="5"/>
  <c r="T70" i="5"/>
  <c r="T73" i="5"/>
  <c r="T75" i="5"/>
  <c r="T76" i="5"/>
  <c r="T77" i="5"/>
  <c r="T78" i="5"/>
  <c r="T79" i="5"/>
  <c r="T81" i="5"/>
  <c r="T96" i="5"/>
  <c r="J1" i="4"/>
  <c r="T14" i="4"/>
  <c r="T73" i="4"/>
  <c r="T75" i="4"/>
  <c r="J66" i="4"/>
  <c r="T81" i="4"/>
  <c r="T79" i="4"/>
  <c r="T78" i="4"/>
  <c r="T77" i="4"/>
  <c r="T76" i="4"/>
  <c r="T70" i="4"/>
  <c r="T69" i="4"/>
  <c r="T68" i="4"/>
  <c r="T65" i="4"/>
  <c r="T63" i="4"/>
  <c r="T61" i="4"/>
  <c r="T60" i="4"/>
  <c r="T59" i="4"/>
  <c r="T57" i="4"/>
  <c r="T56" i="4"/>
  <c r="T55" i="4"/>
  <c r="T54" i="4"/>
  <c r="T53" i="4"/>
  <c r="T52" i="4"/>
  <c r="T51" i="4"/>
  <c r="T50" i="4"/>
  <c r="T47" i="4"/>
  <c r="T45" i="4"/>
  <c r="T44" i="4"/>
  <c r="T43" i="4"/>
  <c r="T40" i="4"/>
  <c r="T39" i="4"/>
  <c r="T38" i="4"/>
  <c r="T37" i="4"/>
  <c r="T35" i="4"/>
  <c r="T25" i="4"/>
  <c r="T24" i="4"/>
  <c r="T22" i="4"/>
  <c r="T20" i="4"/>
  <c r="T18" i="4"/>
  <c r="T17" i="4"/>
  <c r="T97" i="3"/>
  <c r="T96" i="3"/>
  <c r="F95" i="4"/>
  <c r="F102" i="4" s="1"/>
  <c r="F66" i="4"/>
  <c r="F89" i="7" l="1"/>
  <c r="F5" i="7" s="1"/>
  <c r="F184" i="9" s="1"/>
  <c r="J89" i="7"/>
  <c r="J5" i="7" s="1"/>
  <c r="C28" i="16"/>
  <c r="C24" i="17"/>
  <c r="F176" i="17"/>
  <c r="F226" i="9"/>
  <c r="F47" i="15"/>
  <c r="J177" i="17"/>
  <c r="J59" i="15"/>
  <c r="J234" i="9"/>
  <c r="F177" i="17"/>
  <c r="F234" i="9"/>
  <c r="F59" i="15"/>
  <c r="J176" i="17"/>
  <c r="J47" i="15"/>
  <c r="J226" i="9"/>
  <c r="F33" i="16"/>
  <c r="N33" i="16" s="1"/>
  <c r="F159" i="17"/>
  <c r="J159" i="17"/>
  <c r="J33" i="16"/>
  <c r="F69" i="16"/>
  <c r="N69" i="16" s="1"/>
  <c r="F162" i="17"/>
  <c r="J69" i="16"/>
  <c r="J162" i="17"/>
  <c r="F135" i="17"/>
  <c r="F68" i="16"/>
  <c r="F102" i="5"/>
  <c r="F6" i="5" s="1"/>
  <c r="F139" i="17"/>
  <c r="F67" i="16"/>
  <c r="F108" i="17"/>
  <c r="F114" i="17" s="1"/>
  <c r="J58" i="15"/>
  <c r="J233" i="9"/>
  <c r="F233" i="9"/>
  <c r="F58" i="15"/>
  <c r="F232" i="9"/>
  <c r="F57" i="15"/>
  <c r="J6" i="7"/>
  <c r="F6" i="7"/>
  <c r="J102" i="6"/>
  <c r="F102" i="6"/>
  <c r="F6" i="4"/>
  <c r="F32" i="4"/>
  <c r="J168" i="17" l="1"/>
  <c r="J170" i="17" s="1"/>
  <c r="F184" i="17"/>
  <c r="F197" i="17" s="1"/>
  <c r="J184" i="17"/>
  <c r="J7" i="7"/>
  <c r="F168" i="17"/>
  <c r="F141" i="17"/>
  <c r="F143" i="17" s="1"/>
  <c r="F18" i="11"/>
  <c r="F96" i="17"/>
  <c r="F103" i="17" s="1"/>
  <c r="F116" i="17" s="1"/>
  <c r="F89" i="4"/>
  <c r="F5" i="4" s="1"/>
  <c r="F181" i="9" s="1"/>
  <c r="J184" i="9"/>
  <c r="F7" i="7"/>
  <c r="F231" i="9"/>
  <c r="F56" i="15"/>
  <c r="J5" i="6"/>
  <c r="F5" i="6"/>
  <c r="F183" i="9" s="1"/>
  <c r="F6" i="6"/>
  <c r="J6" i="6"/>
  <c r="F5" i="5"/>
  <c r="F170" i="17" l="1"/>
  <c r="J197" i="17"/>
  <c r="J183" i="9"/>
  <c r="F7" i="6"/>
  <c r="F7" i="5"/>
  <c r="F182" i="9"/>
  <c r="F7" i="4"/>
  <c r="J7" i="6"/>
  <c r="K13" i="3"/>
  <c r="O13" i="3"/>
  <c r="T82" i="3"/>
  <c r="T80" i="3"/>
  <c r="T79" i="3"/>
  <c r="T78" i="3"/>
  <c r="T77" i="3"/>
  <c r="T76" i="3"/>
  <c r="T75" i="3"/>
  <c r="T71" i="3"/>
  <c r="T70" i="3"/>
  <c r="T69" i="3"/>
  <c r="T66" i="3"/>
  <c r="T64" i="3"/>
  <c r="T62" i="3"/>
  <c r="T61" i="3"/>
  <c r="T60" i="3"/>
  <c r="T58" i="3"/>
  <c r="T57" i="3"/>
  <c r="T56" i="3"/>
  <c r="T55" i="3"/>
  <c r="T54" i="3"/>
  <c r="T53" i="3"/>
  <c r="T52" i="3"/>
  <c r="T51" i="3"/>
  <c r="T48" i="3"/>
  <c r="T46" i="3"/>
  <c r="T45" i="3"/>
  <c r="T44" i="3"/>
  <c r="T41" i="3"/>
  <c r="T40" i="3"/>
  <c r="T39" i="3"/>
  <c r="T38" i="3"/>
  <c r="T36" i="3"/>
  <c r="T16" i="3"/>
  <c r="T18" i="3"/>
  <c r="T23" i="3"/>
  <c r="T25" i="3"/>
  <c r="T26" i="3"/>
  <c r="T29" i="3"/>
  <c r="F42" i="3"/>
  <c r="J1" i="3"/>
  <c r="J1" i="2"/>
  <c r="J1" i="9"/>
  <c r="J1" i="10"/>
  <c r="F72" i="3"/>
  <c r="F49" i="3"/>
  <c r="T32" i="10"/>
  <c r="T34" i="10"/>
  <c r="T36" i="10"/>
  <c r="T37" i="10"/>
  <c r="T38" i="10"/>
  <c r="T95" i="10"/>
  <c r="T94" i="10"/>
  <c r="T93" i="10"/>
  <c r="T92" i="10"/>
  <c r="T91" i="10"/>
  <c r="T89" i="10"/>
  <c r="T86" i="10"/>
  <c r="T85" i="10"/>
  <c r="T84" i="10"/>
  <c r="T83" i="10"/>
  <c r="T82" i="10"/>
  <c r="T81" i="10"/>
  <c r="T79" i="10"/>
  <c r="T78" i="10"/>
  <c r="T74" i="10"/>
  <c r="T73" i="10"/>
  <c r="T68" i="10"/>
  <c r="T71" i="10"/>
  <c r="T70" i="10"/>
  <c r="T64" i="10"/>
  <c r="T62" i="10"/>
  <c r="T61" i="10"/>
  <c r="T60" i="10"/>
  <c r="T58" i="10"/>
  <c r="T57" i="10"/>
  <c r="T56" i="10"/>
  <c r="T54" i="10"/>
  <c r="T28" i="10"/>
  <c r="T20" i="10"/>
  <c r="T21" i="10"/>
  <c r="T22" i="10"/>
  <c r="T23" i="10"/>
  <c r="T24" i="10"/>
  <c r="T19" i="10"/>
  <c r="J80" i="10"/>
  <c r="J76" i="10"/>
  <c r="J72" i="10"/>
  <c r="J67" i="10"/>
  <c r="J50" i="10"/>
  <c r="J47" i="10"/>
  <c r="J43" i="10"/>
  <c r="J42" i="10" s="1"/>
  <c r="J35" i="10"/>
  <c r="J30" i="10" s="1"/>
  <c r="F42" i="10"/>
  <c r="F80" i="10"/>
  <c r="F112" i="16" s="1"/>
  <c r="F76" i="10"/>
  <c r="F72" i="10"/>
  <c r="F67" i="10"/>
  <c r="F50" i="10"/>
  <c r="F47" i="10"/>
  <c r="F30" i="10"/>
  <c r="N112" i="16" l="1"/>
  <c r="J31" i="17"/>
  <c r="J100" i="16"/>
  <c r="J108" i="16" s="1"/>
  <c r="J19" i="16" s="1"/>
  <c r="J16" i="11" s="1"/>
  <c r="J30" i="17"/>
  <c r="J29" i="17"/>
  <c r="J88" i="16"/>
  <c r="J96" i="16" s="1"/>
  <c r="J18" i="16" s="1"/>
  <c r="J15" i="11" s="1"/>
  <c r="J76" i="16"/>
  <c r="J84" i="16" s="1"/>
  <c r="J17" i="16" s="1"/>
  <c r="J14" i="11" s="1"/>
  <c r="J28" i="17"/>
  <c r="J27" i="17"/>
  <c r="J64" i="16"/>
  <c r="J40" i="16"/>
  <c r="J48" i="16" s="1"/>
  <c r="J14" i="16" s="1"/>
  <c r="J11" i="11" s="1"/>
  <c r="J25" i="17"/>
  <c r="F120" i="16"/>
  <c r="F31" i="17"/>
  <c r="F30" i="17"/>
  <c r="F100" i="16"/>
  <c r="F88" i="16"/>
  <c r="F29" i="17"/>
  <c r="F28" i="17"/>
  <c r="F76" i="16"/>
  <c r="F40" i="16"/>
  <c r="F25" i="17"/>
  <c r="F27" i="17"/>
  <c r="F64" i="16"/>
  <c r="N64" i="16" s="1"/>
  <c r="J13" i="10"/>
  <c r="J39" i="10"/>
  <c r="F13" i="10"/>
  <c r="F39" i="10"/>
  <c r="T81" i="2"/>
  <c r="T79" i="2"/>
  <c r="T78" i="2"/>
  <c r="T77" i="2"/>
  <c r="T76" i="2"/>
  <c r="T75" i="2"/>
  <c r="T73" i="2"/>
  <c r="T70" i="2"/>
  <c r="T69" i="2"/>
  <c r="T68" i="2"/>
  <c r="T65" i="2"/>
  <c r="T63" i="2"/>
  <c r="T61" i="2"/>
  <c r="T60" i="2"/>
  <c r="T59" i="2"/>
  <c r="T57" i="2"/>
  <c r="T56" i="2"/>
  <c r="T55" i="2"/>
  <c r="T54" i="2"/>
  <c r="T52" i="2"/>
  <c r="T51" i="2"/>
  <c r="T50" i="2"/>
  <c r="T47" i="2"/>
  <c r="T45" i="2"/>
  <c r="T44" i="2"/>
  <c r="T43" i="2"/>
  <c r="T39" i="2"/>
  <c r="T38" i="2"/>
  <c r="T37" i="2"/>
  <c r="T35" i="2"/>
  <c r="T17" i="2"/>
  <c r="T20" i="2"/>
  <c r="T25" i="2"/>
  <c r="T26" i="2"/>
  <c r="T27" i="2"/>
  <c r="T166" i="9"/>
  <c r="T165" i="9"/>
  <c r="T164" i="9"/>
  <c r="T163" i="9"/>
  <c r="T162" i="9"/>
  <c r="T160" i="9"/>
  <c r="T158" i="9"/>
  <c r="T157" i="9"/>
  <c r="T156" i="9"/>
  <c r="T155" i="9"/>
  <c r="T154" i="9"/>
  <c r="T153" i="9"/>
  <c r="T152" i="9"/>
  <c r="T151" i="9"/>
  <c r="T150" i="9"/>
  <c r="T149" i="9"/>
  <c r="T148" i="9"/>
  <c r="T147" i="9"/>
  <c r="T146" i="9"/>
  <c r="T143" i="9"/>
  <c r="T142" i="9"/>
  <c r="T141" i="9"/>
  <c r="T140" i="9"/>
  <c r="T139" i="9"/>
  <c r="T138" i="9"/>
  <c r="T137" i="9"/>
  <c r="T136" i="9"/>
  <c r="T135" i="9"/>
  <c r="T133" i="9"/>
  <c r="T131" i="9"/>
  <c r="T127" i="9"/>
  <c r="T123" i="9"/>
  <c r="T121" i="9"/>
  <c r="T115" i="9"/>
  <c r="T113" i="9"/>
  <c r="T111" i="9"/>
  <c r="T110" i="9"/>
  <c r="T109" i="9"/>
  <c r="T108" i="9"/>
  <c r="T107" i="9"/>
  <c r="T104" i="9"/>
  <c r="T103" i="9"/>
  <c r="T102" i="9"/>
  <c r="T101" i="9"/>
  <c r="T100" i="9"/>
  <c r="T99" i="9"/>
  <c r="T98" i="9"/>
  <c r="T97" i="9"/>
  <c r="T96" i="9"/>
  <c r="T95" i="9"/>
  <c r="T94" i="9"/>
  <c r="T91" i="9"/>
  <c r="T90" i="9"/>
  <c r="T89" i="9"/>
  <c r="T88" i="9"/>
  <c r="T87" i="9"/>
  <c r="T86" i="9"/>
  <c r="T85" i="9"/>
  <c r="T84" i="9"/>
  <c r="T83" i="9"/>
  <c r="T79" i="9"/>
  <c r="T77" i="9"/>
  <c r="T76" i="9"/>
  <c r="T75" i="9"/>
  <c r="T74" i="9"/>
  <c r="T73" i="9"/>
  <c r="T71" i="9"/>
  <c r="T69" i="9"/>
  <c r="T68" i="9"/>
  <c r="T66" i="9"/>
  <c r="T64" i="9"/>
  <c r="T63" i="9"/>
  <c r="T61" i="9"/>
  <c r="T59" i="9"/>
  <c r="T57" i="9"/>
  <c r="T55" i="9"/>
  <c r="T53" i="9"/>
  <c r="T52" i="9"/>
  <c r="T50" i="9"/>
  <c r="T49" i="9"/>
  <c r="T48" i="9"/>
  <c r="T46" i="9"/>
  <c r="T45" i="9"/>
  <c r="T43" i="9"/>
  <c r="T42" i="9"/>
  <c r="T41" i="9"/>
  <c r="T39" i="9"/>
  <c r="T38" i="9"/>
  <c r="T37" i="9"/>
  <c r="T35" i="9"/>
  <c r="T33" i="9"/>
  <c r="T20" i="9"/>
  <c r="T17" i="9"/>
  <c r="F95" i="2"/>
  <c r="F102" i="2" s="1"/>
  <c r="R135" i="9"/>
  <c r="Q135" i="9"/>
  <c r="P135" i="9"/>
  <c r="R82" i="9"/>
  <c r="Q82" i="9"/>
  <c r="J145" i="9"/>
  <c r="J129" i="9"/>
  <c r="J120" i="9"/>
  <c r="J106" i="9"/>
  <c r="J81" i="9"/>
  <c r="J32" i="9"/>
  <c r="J29" i="9"/>
  <c r="J13" i="9"/>
  <c r="F145" i="9"/>
  <c r="F129" i="9"/>
  <c r="F120" i="9"/>
  <c r="F106" i="9"/>
  <c r="F81" i="9"/>
  <c r="N81" i="9" s="1"/>
  <c r="F32" i="9"/>
  <c r="F29" i="9"/>
  <c r="F13" i="9"/>
  <c r="F48" i="16" l="1"/>
  <c r="N40" i="16"/>
  <c r="F20" i="16"/>
  <c r="F84" i="16"/>
  <c r="N76" i="16"/>
  <c r="F96" i="16"/>
  <c r="N88" i="16"/>
  <c r="F108" i="16"/>
  <c r="N100" i="16"/>
  <c r="J26" i="17"/>
  <c r="J52" i="16"/>
  <c r="J60" i="16" s="1"/>
  <c r="J15" i="16" s="1"/>
  <c r="J12" i="11" s="1"/>
  <c r="J24" i="17"/>
  <c r="J33" i="17" s="1"/>
  <c r="J28" i="16"/>
  <c r="J36" i="16" s="1"/>
  <c r="J13" i="16" s="1"/>
  <c r="J10" i="11" s="1"/>
  <c r="F26" i="17"/>
  <c r="F52" i="16"/>
  <c r="F28" i="16"/>
  <c r="F24" i="17"/>
  <c r="F54" i="17"/>
  <c r="F60" i="17" s="1"/>
  <c r="F65" i="16"/>
  <c r="F14" i="17"/>
  <c r="F41" i="15"/>
  <c r="F15" i="17"/>
  <c r="F53" i="15"/>
  <c r="F13" i="17"/>
  <c r="F29" i="15"/>
  <c r="F37" i="15" s="1"/>
  <c r="F13" i="15" s="1"/>
  <c r="F27" i="11" s="1"/>
  <c r="F17" i="17"/>
  <c r="F77" i="15"/>
  <c r="J13" i="17"/>
  <c r="J29" i="15"/>
  <c r="J37" i="15" s="1"/>
  <c r="J13" i="15" s="1"/>
  <c r="J17" i="17"/>
  <c r="J77" i="15"/>
  <c r="Q20" i="17"/>
  <c r="Q113" i="15"/>
  <c r="Q121" i="15" s="1"/>
  <c r="F18" i="17"/>
  <c r="F89" i="15"/>
  <c r="F97" i="15" s="1"/>
  <c r="F18" i="15" s="1"/>
  <c r="F32" i="11" s="1"/>
  <c r="R20" i="17"/>
  <c r="R113" i="15"/>
  <c r="R121" i="15" s="1"/>
  <c r="J194" i="9"/>
  <c r="J18" i="17"/>
  <c r="J89" i="15"/>
  <c r="J97" i="15" s="1"/>
  <c r="J18" i="15" s="1"/>
  <c r="J15" i="17"/>
  <c r="J53" i="15"/>
  <c r="J19" i="17"/>
  <c r="J101" i="15"/>
  <c r="J14" i="17"/>
  <c r="J41" i="15"/>
  <c r="F19" i="17"/>
  <c r="F101" i="15"/>
  <c r="F16" i="17"/>
  <c r="F65" i="15"/>
  <c r="F21" i="17"/>
  <c r="F125" i="15"/>
  <c r="J16" i="17"/>
  <c r="J65" i="15"/>
  <c r="J21" i="17"/>
  <c r="J125" i="15"/>
  <c r="P20" i="17"/>
  <c r="P113" i="15"/>
  <c r="P121" i="15" s="1"/>
  <c r="J195" i="9"/>
  <c r="J197" i="9"/>
  <c r="F197" i="9"/>
  <c r="F194" i="9"/>
  <c r="F195" i="9"/>
  <c r="S135" i="9"/>
  <c r="J96" i="10"/>
  <c r="J9" i="10" s="1"/>
  <c r="F96" i="10"/>
  <c r="F9" i="10" s="1"/>
  <c r="F32" i="2"/>
  <c r="J168" i="9"/>
  <c r="F168" i="9"/>
  <c r="N168" i="9" s="1"/>
  <c r="N65" i="15" l="1"/>
  <c r="N16" i="17"/>
  <c r="F36" i="16"/>
  <c r="N28" i="16"/>
  <c r="F17" i="11"/>
  <c r="C24" i="33" s="1"/>
  <c r="C22" i="33" s="1"/>
  <c r="C27" i="33" s="1"/>
  <c r="F17" i="16"/>
  <c r="N84" i="16"/>
  <c r="F72" i="16"/>
  <c r="F18" i="16"/>
  <c r="N96" i="16"/>
  <c r="F60" i="16"/>
  <c r="N52" i="16"/>
  <c r="F19" i="16"/>
  <c r="N108" i="16"/>
  <c r="F14" i="16"/>
  <c r="N48" i="16"/>
  <c r="F33" i="17"/>
  <c r="F42" i="17"/>
  <c r="F49" i="17" s="1"/>
  <c r="F62" i="17" s="1"/>
  <c r="F89" i="2"/>
  <c r="S20" i="17"/>
  <c r="S113" i="15"/>
  <c r="S121" i="15" s="1"/>
  <c r="J133" i="15"/>
  <c r="J21" i="15" s="1"/>
  <c r="F85" i="15"/>
  <c r="F17" i="15" s="1"/>
  <c r="F31" i="11" s="1"/>
  <c r="F22" i="17"/>
  <c r="N22" i="17" s="1"/>
  <c r="F133" i="15"/>
  <c r="F21" i="15" s="1"/>
  <c r="F35" i="11" s="1"/>
  <c r="J73" i="15"/>
  <c r="J16" i="15" s="1"/>
  <c r="F109" i="15"/>
  <c r="F19" i="15" s="1"/>
  <c r="F33" i="11" s="1"/>
  <c r="J109" i="15"/>
  <c r="J19" i="15" s="1"/>
  <c r="J32" i="11"/>
  <c r="J27" i="11"/>
  <c r="F73" i="15"/>
  <c r="J85" i="15"/>
  <c r="J17" i="15" s="1"/>
  <c r="J22" i="17"/>
  <c r="J35" i="17" s="1"/>
  <c r="F5" i="2"/>
  <c r="F179" i="9" s="1"/>
  <c r="F54" i="15"/>
  <c r="F229" i="9"/>
  <c r="J32" i="2"/>
  <c r="F6" i="2"/>
  <c r="J9" i="9"/>
  <c r="F9" i="9"/>
  <c r="I32" i="9"/>
  <c r="H129" i="9"/>
  <c r="H120" i="9"/>
  <c r="H106" i="9"/>
  <c r="H81" i="9"/>
  <c r="H32" i="9"/>
  <c r="H29" i="9"/>
  <c r="H13" i="9"/>
  <c r="E84" i="9"/>
  <c r="E85" i="9"/>
  <c r="E86" i="9"/>
  <c r="F16" i="15" l="1"/>
  <c r="N73" i="15"/>
  <c r="N9" i="9"/>
  <c r="C28" i="33"/>
  <c r="C30" i="33"/>
  <c r="F16" i="16"/>
  <c r="N19" i="16"/>
  <c r="F16" i="11"/>
  <c r="F15" i="16"/>
  <c r="N60" i="16"/>
  <c r="N14" i="16"/>
  <c r="F11" i="11"/>
  <c r="N17" i="16"/>
  <c r="F14" i="11"/>
  <c r="N18" i="16"/>
  <c r="F15" i="11"/>
  <c r="F13" i="16"/>
  <c r="N36" i="16"/>
  <c r="F35" i="17"/>
  <c r="N35" i="17" s="1"/>
  <c r="J42" i="17"/>
  <c r="J89" i="2"/>
  <c r="J35" i="11"/>
  <c r="H16" i="17"/>
  <c r="H65" i="15"/>
  <c r="I15" i="17"/>
  <c r="I53" i="15"/>
  <c r="J31" i="11"/>
  <c r="J33" i="11"/>
  <c r="J30" i="11"/>
  <c r="H13" i="17"/>
  <c r="H29" i="15"/>
  <c r="H37" i="15" s="1"/>
  <c r="H13" i="15" s="1"/>
  <c r="H14" i="17"/>
  <c r="H41" i="15"/>
  <c r="H194" i="9"/>
  <c r="H18" i="17"/>
  <c r="H89" i="15"/>
  <c r="H97" i="15" s="1"/>
  <c r="H18" i="15" s="1"/>
  <c r="H17" i="17"/>
  <c r="H77" i="15"/>
  <c r="H15" i="17"/>
  <c r="H53" i="15"/>
  <c r="H19" i="17"/>
  <c r="H101" i="15"/>
  <c r="J54" i="15"/>
  <c r="J229" i="9"/>
  <c r="H195" i="9"/>
  <c r="F7" i="2"/>
  <c r="E81" i="9"/>
  <c r="R81" i="9" l="1"/>
  <c r="F30" i="11"/>
  <c r="N30" i="11" s="1"/>
  <c r="N16" i="15"/>
  <c r="F13" i="11"/>
  <c r="N13" i="16"/>
  <c r="F10" i="11"/>
  <c r="F22" i="16"/>
  <c r="N15" i="16"/>
  <c r="F12" i="11"/>
  <c r="R16" i="17"/>
  <c r="R65" i="15"/>
  <c r="R73" i="15" s="1"/>
  <c r="J49" i="17"/>
  <c r="H27" i="11"/>
  <c r="H73" i="15"/>
  <c r="H16" i="15" s="1"/>
  <c r="H109" i="15"/>
  <c r="H19" i="15" s="1"/>
  <c r="E16" i="17"/>
  <c r="E65" i="15"/>
  <c r="H85" i="15"/>
  <c r="H17" i="15" s="1"/>
  <c r="H32" i="11"/>
  <c r="E42" i="10"/>
  <c r="E30" i="10"/>
  <c r="I30" i="10"/>
  <c r="E47" i="10"/>
  <c r="E50" i="10"/>
  <c r="E67" i="10"/>
  <c r="E72" i="10"/>
  <c r="E76" i="10"/>
  <c r="E80" i="10"/>
  <c r="I80" i="10"/>
  <c r="I76" i="10"/>
  <c r="C72" i="10"/>
  <c r="H72" i="10"/>
  <c r="I72" i="10"/>
  <c r="H67" i="10"/>
  <c r="D67" i="10"/>
  <c r="I67" i="10"/>
  <c r="I50" i="10"/>
  <c r="C47" i="10"/>
  <c r="I47" i="10"/>
  <c r="H43" i="10"/>
  <c r="H42" i="10" s="1"/>
  <c r="I42" i="10"/>
  <c r="H80" i="10"/>
  <c r="H76" i="10"/>
  <c r="F9" i="16" l="1"/>
  <c r="F19" i="11"/>
  <c r="I31" i="17"/>
  <c r="I76" i="16"/>
  <c r="I84" i="16" s="1"/>
  <c r="I17" i="16" s="1"/>
  <c r="I14" i="11" s="1"/>
  <c r="I28" i="17"/>
  <c r="I88" i="16"/>
  <c r="I96" i="16" s="1"/>
  <c r="I18" i="16" s="1"/>
  <c r="I15" i="11" s="1"/>
  <c r="I29" i="17"/>
  <c r="I30" i="17"/>
  <c r="I100" i="16"/>
  <c r="I108" i="16" s="1"/>
  <c r="I19" i="16" s="1"/>
  <c r="I16" i="11" s="1"/>
  <c r="H31" i="17"/>
  <c r="H100" i="16"/>
  <c r="H108" i="16" s="1"/>
  <c r="H19" i="16" s="1"/>
  <c r="H16" i="11" s="1"/>
  <c r="H30" i="17"/>
  <c r="H88" i="16"/>
  <c r="H96" i="16" s="1"/>
  <c r="H18" i="16" s="1"/>
  <c r="H15" i="11" s="1"/>
  <c r="H29" i="17"/>
  <c r="H76" i="16"/>
  <c r="H84" i="16" s="1"/>
  <c r="H17" i="16" s="1"/>
  <c r="H14" i="11" s="1"/>
  <c r="H28" i="17"/>
  <c r="I40" i="16"/>
  <c r="I48" i="16" s="1"/>
  <c r="I14" i="16" s="1"/>
  <c r="I11" i="11" s="1"/>
  <c r="I25" i="17"/>
  <c r="I64" i="16"/>
  <c r="I27" i="17"/>
  <c r="E112" i="16"/>
  <c r="E31" i="17"/>
  <c r="E30" i="17"/>
  <c r="E100" i="16"/>
  <c r="E29" i="17"/>
  <c r="E88" i="16"/>
  <c r="E76" i="16"/>
  <c r="E28" i="17"/>
  <c r="E27" i="17"/>
  <c r="E64" i="16"/>
  <c r="E40" i="16"/>
  <c r="E25" i="17"/>
  <c r="D76" i="16"/>
  <c r="D28" i="17"/>
  <c r="C88" i="16"/>
  <c r="C29" i="17"/>
  <c r="H33" i="11"/>
  <c r="E73" i="15"/>
  <c r="H31" i="11"/>
  <c r="H30" i="11"/>
  <c r="H13" i="10"/>
  <c r="H50" i="10"/>
  <c r="H30" i="10"/>
  <c r="I13" i="10"/>
  <c r="E39" i="10"/>
  <c r="E13" i="10"/>
  <c r="E16" i="15" l="1"/>
  <c r="D84" i="16"/>
  <c r="L76" i="16"/>
  <c r="E96" i="16"/>
  <c r="M88" i="16"/>
  <c r="M64" i="16"/>
  <c r="C96" i="16"/>
  <c r="T88" i="16"/>
  <c r="E84" i="16"/>
  <c r="M76" i="16"/>
  <c r="E48" i="16"/>
  <c r="M40" i="16"/>
  <c r="E108" i="16"/>
  <c r="M100" i="16"/>
  <c r="M112" i="16"/>
  <c r="H27" i="17"/>
  <c r="H64" i="16"/>
  <c r="H39" i="10"/>
  <c r="H52" i="16" s="1"/>
  <c r="H60" i="16" s="1"/>
  <c r="H15" i="16" s="1"/>
  <c r="H12" i="11" s="1"/>
  <c r="H40" i="16"/>
  <c r="H48" i="16" s="1"/>
  <c r="H14" i="16" s="1"/>
  <c r="H11" i="11" s="1"/>
  <c r="H25" i="17"/>
  <c r="H24" i="17"/>
  <c r="H28" i="16"/>
  <c r="I28" i="16"/>
  <c r="I24" i="17"/>
  <c r="E24" i="17"/>
  <c r="E28" i="16"/>
  <c r="E26" i="17"/>
  <c r="E52" i="16"/>
  <c r="E96" i="10"/>
  <c r="E29" i="7"/>
  <c r="E13" i="7"/>
  <c r="E95" i="6"/>
  <c r="E93" i="6"/>
  <c r="E71" i="4"/>
  <c r="E66" i="4"/>
  <c r="E48" i="4"/>
  <c r="E72" i="3"/>
  <c r="E49" i="3"/>
  <c r="D48" i="2"/>
  <c r="E30" i="11" l="1"/>
  <c r="C18" i="16"/>
  <c r="C15" i="11" s="1"/>
  <c r="T96" i="16"/>
  <c r="E60" i="16"/>
  <c r="E19" i="16"/>
  <c r="M108" i="16"/>
  <c r="E18" i="16"/>
  <c r="M96" i="16"/>
  <c r="E17" i="16"/>
  <c r="M84" i="16"/>
  <c r="E14" i="16"/>
  <c r="M48" i="16"/>
  <c r="M28" i="16"/>
  <c r="D17" i="16"/>
  <c r="L84" i="16"/>
  <c r="H96" i="10"/>
  <c r="H9" i="10" s="1"/>
  <c r="H26" i="17"/>
  <c r="H33" i="17" s="1"/>
  <c r="E33" i="17"/>
  <c r="E175" i="17"/>
  <c r="E35" i="15"/>
  <c r="E218" i="9"/>
  <c r="E176" i="17"/>
  <c r="E47" i="15"/>
  <c r="E226" i="9"/>
  <c r="E69" i="16"/>
  <c r="E162" i="17"/>
  <c r="E159" i="17"/>
  <c r="E33" i="16"/>
  <c r="E135" i="17"/>
  <c r="E68" i="16"/>
  <c r="E213" i="9"/>
  <c r="E30" i="15"/>
  <c r="E233" i="9"/>
  <c r="E58" i="15"/>
  <c r="E232" i="9"/>
  <c r="E57" i="15"/>
  <c r="E32" i="4"/>
  <c r="E96" i="17" s="1"/>
  <c r="E9" i="10"/>
  <c r="N9" i="10" s="1"/>
  <c r="E102" i="6"/>
  <c r="E89" i="7"/>
  <c r="M18" i="16" l="1"/>
  <c r="R18" i="16"/>
  <c r="R15" i="11" s="1"/>
  <c r="E15" i="11"/>
  <c r="M14" i="16"/>
  <c r="E11" i="11"/>
  <c r="R14" i="16"/>
  <c r="R11" i="11" s="1"/>
  <c r="E15" i="16"/>
  <c r="E36" i="16"/>
  <c r="M33" i="16"/>
  <c r="L17" i="16"/>
  <c r="D14" i="11"/>
  <c r="M19" i="16"/>
  <c r="R19" i="16"/>
  <c r="R16" i="11" s="1"/>
  <c r="E16" i="11"/>
  <c r="M17" i="16"/>
  <c r="R17" i="16"/>
  <c r="R14" i="11" s="1"/>
  <c r="E14" i="11"/>
  <c r="E168" i="17"/>
  <c r="E170" i="17" s="1"/>
  <c r="E177" i="17"/>
  <c r="E59" i="15"/>
  <c r="E234" i="9"/>
  <c r="E219" i="9"/>
  <c r="E140" i="16"/>
  <c r="M140" i="16" s="1"/>
  <c r="E141" i="15"/>
  <c r="E6" i="7"/>
  <c r="E56" i="15"/>
  <c r="E231" i="9"/>
  <c r="E6" i="6"/>
  <c r="E5" i="6"/>
  <c r="E116" i="16"/>
  <c r="E5" i="5"/>
  <c r="E95" i="4"/>
  <c r="E95" i="2"/>
  <c r="E32" i="2"/>
  <c r="E12" i="11" l="1"/>
  <c r="R15" i="16"/>
  <c r="R12" i="11" s="1"/>
  <c r="E13" i="16"/>
  <c r="E183" i="9"/>
  <c r="E184" i="17"/>
  <c r="E42" i="17"/>
  <c r="E89" i="2"/>
  <c r="E139" i="17"/>
  <c r="E141" i="17" s="1"/>
  <c r="E143" i="17" s="1"/>
  <c r="E67" i="16"/>
  <c r="E108" i="17"/>
  <c r="E54" i="17"/>
  <c r="E65" i="16"/>
  <c r="E5" i="7"/>
  <c r="E182" i="9"/>
  <c r="E54" i="15"/>
  <c r="E229" i="9"/>
  <c r="E7" i="6"/>
  <c r="E102" i="5"/>
  <c r="E6" i="5" s="1"/>
  <c r="E7" i="5" s="1"/>
  <c r="I66" i="6"/>
  <c r="I71" i="6"/>
  <c r="I41" i="4"/>
  <c r="I53" i="4"/>
  <c r="I71" i="2"/>
  <c r="I66" i="5"/>
  <c r="I53" i="5"/>
  <c r="E10" i="11" l="1"/>
  <c r="R13" i="16"/>
  <c r="R10" i="11" s="1"/>
  <c r="E184" i="9"/>
  <c r="E197" i="17"/>
  <c r="I71" i="5"/>
  <c r="I71" i="4"/>
  <c r="E49" i="17"/>
  <c r="H66" i="6"/>
  <c r="H32" i="6" s="1"/>
  <c r="I33" i="6"/>
  <c r="I48" i="6"/>
  <c r="I41" i="5"/>
  <c r="I33" i="5"/>
  <c r="I48" i="5"/>
  <c r="I189" i="9"/>
  <c r="E72" i="16"/>
  <c r="I48" i="4"/>
  <c r="I33" i="4"/>
  <c r="I34" i="3"/>
  <c r="I72" i="17"/>
  <c r="I91" i="15"/>
  <c r="I187" i="9"/>
  <c r="I48" i="2"/>
  <c r="I41" i="2"/>
  <c r="I33" i="2"/>
  <c r="E7" i="7"/>
  <c r="I66" i="4"/>
  <c r="E5" i="2"/>
  <c r="E179" i="9" s="1"/>
  <c r="I42" i="3"/>
  <c r="I72" i="3"/>
  <c r="I49" i="3"/>
  <c r="I81" i="9"/>
  <c r="M81" i="9" s="1"/>
  <c r="H48" i="2"/>
  <c r="E16" i="16" l="1"/>
  <c r="I32" i="6"/>
  <c r="I150" i="17" s="1"/>
  <c r="H150" i="17"/>
  <c r="H157" i="17" s="1"/>
  <c r="H89" i="6"/>
  <c r="I177" i="17"/>
  <c r="I234" i="9"/>
  <c r="I59" i="15"/>
  <c r="I32" i="5"/>
  <c r="I123" i="17" s="1"/>
  <c r="R16" i="16"/>
  <c r="R13" i="11" s="1"/>
  <c r="I32" i="4"/>
  <c r="I96" i="17" s="1"/>
  <c r="I16" i="17"/>
  <c r="M16" i="17" s="1"/>
  <c r="I65" i="15"/>
  <c r="M65" i="15" s="1"/>
  <c r="J72" i="3"/>
  <c r="J49" i="3"/>
  <c r="J42" i="3"/>
  <c r="I33" i="3"/>
  <c r="I69" i="17" s="1"/>
  <c r="I129" i="9"/>
  <c r="I106" i="9"/>
  <c r="I120" i="9"/>
  <c r="I32" i="2"/>
  <c r="I42" i="17" s="1"/>
  <c r="I96" i="5"/>
  <c r="I94" i="6"/>
  <c r="I18" i="7"/>
  <c r="I29" i="4"/>
  <c r="I29" i="2"/>
  <c r="E13" i="11" l="1"/>
  <c r="I57" i="15"/>
  <c r="I58" i="15"/>
  <c r="I233" i="9"/>
  <c r="I13" i="6"/>
  <c r="I34" i="15" s="1"/>
  <c r="I232" i="9"/>
  <c r="I13" i="7"/>
  <c r="I194" i="17"/>
  <c r="I130" i="16"/>
  <c r="M130" i="16" s="1"/>
  <c r="I99" i="7"/>
  <c r="I29" i="6"/>
  <c r="I13" i="5"/>
  <c r="I29" i="5"/>
  <c r="I95" i="17"/>
  <c r="I44" i="15"/>
  <c r="I223" i="9"/>
  <c r="I13" i="4"/>
  <c r="I89" i="4" s="1"/>
  <c r="I13" i="3"/>
  <c r="I41" i="17"/>
  <c r="I42" i="15"/>
  <c r="I221" i="9"/>
  <c r="I13" i="2"/>
  <c r="I89" i="2" s="1"/>
  <c r="I17" i="17"/>
  <c r="I77" i="15"/>
  <c r="I19" i="17"/>
  <c r="I101" i="15"/>
  <c r="I73" i="15"/>
  <c r="I18" i="17"/>
  <c r="I89" i="15"/>
  <c r="I97" i="15" s="1"/>
  <c r="I18" i="15" s="1"/>
  <c r="J57" i="15"/>
  <c r="J232" i="9"/>
  <c r="I230" i="9"/>
  <c r="I55" i="15"/>
  <c r="I229" i="9"/>
  <c r="I54" i="15"/>
  <c r="I195" i="9"/>
  <c r="I194" i="9"/>
  <c r="J95" i="4"/>
  <c r="J102" i="4" s="1"/>
  <c r="J33" i="3"/>
  <c r="J69" i="17" s="1"/>
  <c r="I30" i="3"/>
  <c r="I93" i="6"/>
  <c r="I95" i="5"/>
  <c r="I29" i="7"/>
  <c r="I95" i="6"/>
  <c r="I95" i="4"/>
  <c r="I102" i="4" s="1"/>
  <c r="I95" i="2"/>
  <c r="I102" i="2" s="1"/>
  <c r="I16" i="15" l="1"/>
  <c r="M16" i="15" s="1"/>
  <c r="M73" i="15"/>
  <c r="I193" i="17"/>
  <c r="I89" i="7"/>
  <c r="I5" i="7" s="1"/>
  <c r="I89" i="6"/>
  <c r="I217" i="9"/>
  <c r="I148" i="17"/>
  <c r="I90" i="3"/>
  <c r="I5" i="3" s="1"/>
  <c r="I180" i="9" s="1"/>
  <c r="M118" i="16"/>
  <c r="I132" i="16"/>
  <c r="I176" i="17"/>
  <c r="I47" i="15"/>
  <c r="I226" i="9"/>
  <c r="I175" i="17"/>
  <c r="I35" i="15"/>
  <c r="I218" i="9"/>
  <c r="I159" i="17"/>
  <c r="I33" i="16"/>
  <c r="I149" i="17"/>
  <c r="I225" i="9"/>
  <c r="I46" i="15"/>
  <c r="I162" i="17"/>
  <c r="I69" i="16"/>
  <c r="M69" i="16" s="1"/>
  <c r="I135" i="17"/>
  <c r="I68" i="16"/>
  <c r="M68" i="16" s="1"/>
  <c r="I122" i="17"/>
  <c r="I45" i="15"/>
  <c r="I224" i="9"/>
  <c r="I89" i="5"/>
  <c r="I121" i="17"/>
  <c r="I216" i="9"/>
  <c r="I33" i="15"/>
  <c r="I108" i="17"/>
  <c r="I67" i="16"/>
  <c r="M67" i="16" s="1"/>
  <c r="J67" i="16"/>
  <c r="N67" i="16" s="1"/>
  <c r="J108" i="17"/>
  <c r="I94" i="17"/>
  <c r="I32" i="15"/>
  <c r="I215" i="9"/>
  <c r="I68" i="17"/>
  <c r="I43" i="15"/>
  <c r="I222" i="9"/>
  <c r="I67" i="17"/>
  <c r="I31" i="15"/>
  <c r="I214" i="9"/>
  <c r="I40" i="17"/>
  <c r="I30" i="15"/>
  <c r="I213" i="9"/>
  <c r="I54" i="17"/>
  <c r="I65" i="16"/>
  <c r="M65" i="16" s="1"/>
  <c r="I30" i="11"/>
  <c r="M30" i="11" s="1"/>
  <c r="I32" i="11"/>
  <c r="I109" i="15"/>
  <c r="I19" i="15" s="1"/>
  <c r="I85" i="15"/>
  <c r="I17" i="15" s="1"/>
  <c r="J55" i="15"/>
  <c r="J230" i="9"/>
  <c r="J95" i="5"/>
  <c r="J30" i="3"/>
  <c r="J90" i="3" s="1"/>
  <c r="J95" i="2"/>
  <c r="J102" i="2" s="1"/>
  <c r="I13" i="9"/>
  <c r="E120" i="9"/>
  <c r="R120" i="9" s="1"/>
  <c r="I29" i="9"/>
  <c r="R18" i="17" l="1"/>
  <c r="R89" i="15"/>
  <c r="R194" i="9"/>
  <c r="J114" i="17"/>
  <c r="I227" i="9"/>
  <c r="I184" i="17"/>
  <c r="I157" i="17"/>
  <c r="I130" i="17"/>
  <c r="I114" i="17"/>
  <c r="I103" i="17"/>
  <c r="I60" i="17"/>
  <c r="I49" i="17"/>
  <c r="I168" i="17"/>
  <c r="J135" i="17"/>
  <c r="J68" i="16"/>
  <c r="N68" i="16" s="1"/>
  <c r="I219" i="9"/>
  <c r="I76" i="17"/>
  <c r="I89" i="17" s="1"/>
  <c r="J68" i="17"/>
  <c r="J43" i="15"/>
  <c r="J49" i="15" s="1"/>
  <c r="J14" i="15" s="1"/>
  <c r="J222" i="9"/>
  <c r="J227" i="9" s="1"/>
  <c r="J54" i="17"/>
  <c r="J65" i="16"/>
  <c r="N65" i="16" s="1"/>
  <c r="I184" i="9"/>
  <c r="I33" i="11"/>
  <c r="I31" i="11"/>
  <c r="I13" i="17"/>
  <c r="I29" i="15"/>
  <c r="I37" i="15" s="1"/>
  <c r="I13" i="15" s="1"/>
  <c r="E18" i="17"/>
  <c r="E89" i="15"/>
  <c r="E97" i="15" s="1"/>
  <c r="E18" i="15" s="1"/>
  <c r="I14" i="17"/>
  <c r="I41" i="15"/>
  <c r="I49" i="15" s="1"/>
  <c r="I14" i="15" s="1"/>
  <c r="E194" i="9"/>
  <c r="I5" i="6"/>
  <c r="I183" i="9" s="1"/>
  <c r="J5" i="3"/>
  <c r="I5" i="5"/>
  <c r="I182" i="9" s="1"/>
  <c r="I5" i="2"/>
  <c r="I179" i="9" s="1"/>
  <c r="E13" i="9"/>
  <c r="R13" i="9" s="1"/>
  <c r="R13" i="17" l="1"/>
  <c r="R29" i="15"/>
  <c r="J60" i="17"/>
  <c r="J76" i="17"/>
  <c r="I170" i="17"/>
  <c r="I116" i="17"/>
  <c r="I62" i="17"/>
  <c r="J72" i="16"/>
  <c r="J28" i="11"/>
  <c r="E32" i="11"/>
  <c r="E13" i="17"/>
  <c r="E29" i="15"/>
  <c r="E37" i="15" s="1"/>
  <c r="E13" i="15" s="1"/>
  <c r="E27" i="11" s="1"/>
  <c r="I28" i="11"/>
  <c r="I27" i="11"/>
  <c r="J180" i="9"/>
  <c r="J5" i="5"/>
  <c r="J182" i="9" s="1"/>
  <c r="J5" i="2"/>
  <c r="E29" i="9"/>
  <c r="R29" i="9" s="1"/>
  <c r="H95" i="7"/>
  <c r="D71" i="6"/>
  <c r="D32" i="6" s="1"/>
  <c r="D13" i="6"/>
  <c r="D93" i="6"/>
  <c r="H93" i="6"/>
  <c r="H95" i="6"/>
  <c r="D13" i="5"/>
  <c r="H95" i="5"/>
  <c r="D102" i="5"/>
  <c r="D71" i="5"/>
  <c r="D32" i="5" s="1"/>
  <c r="D123" i="17" s="1"/>
  <c r="D13" i="3"/>
  <c r="P82" i="9"/>
  <c r="S82" i="9" s="1"/>
  <c r="D114" i="9"/>
  <c r="H95" i="4"/>
  <c r="H102" i="4" s="1"/>
  <c r="C95" i="4"/>
  <c r="D48" i="4"/>
  <c r="D33" i="4"/>
  <c r="D71" i="4"/>
  <c r="D66" i="4"/>
  <c r="H66" i="4"/>
  <c r="C66" i="4"/>
  <c r="D29" i="4"/>
  <c r="H95" i="2"/>
  <c r="H102" i="2" s="1"/>
  <c r="C95" i="2"/>
  <c r="D71" i="2"/>
  <c r="D13" i="2"/>
  <c r="H72" i="3"/>
  <c r="C72" i="3"/>
  <c r="C49" i="3"/>
  <c r="D49" i="3"/>
  <c r="H49" i="3"/>
  <c r="H42" i="3"/>
  <c r="C42" i="3"/>
  <c r="C30" i="3"/>
  <c r="D76" i="10"/>
  <c r="D49" i="10"/>
  <c r="D29" i="7"/>
  <c r="H29" i="7"/>
  <c r="H30" i="3"/>
  <c r="D29" i="9"/>
  <c r="D120" i="9"/>
  <c r="C81" i="9"/>
  <c r="C76" i="10"/>
  <c r="C13" i="9"/>
  <c r="C32" i="9"/>
  <c r="C29" i="9"/>
  <c r="C29" i="7"/>
  <c r="C120" i="9"/>
  <c r="C18" i="17" s="1"/>
  <c r="C129" i="9"/>
  <c r="C30" i="10"/>
  <c r="C80" i="10"/>
  <c r="C67" i="10"/>
  <c r="C51" i="10"/>
  <c r="C50" i="10" s="1"/>
  <c r="J16" i="16" l="1"/>
  <c r="N16" i="16" s="1"/>
  <c r="N72" i="16"/>
  <c r="R14" i="17"/>
  <c r="R41" i="15"/>
  <c r="C30" i="17"/>
  <c r="C100" i="16"/>
  <c r="J13" i="11"/>
  <c r="J62" i="17"/>
  <c r="C93" i="5"/>
  <c r="J89" i="17"/>
  <c r="H89" i="7"/>
  <c r="H5" i="7" s="1"/>
  <c r="H184" i="9" s="1"/>
  <c r="D150" i="17"/>
  <c r="D89" i="6"/>
  <c r="D100" i="16"/>
  <c r="D30" i="17"/>
  <c r="C112" i="16"/>
  <c r="C31" i="17"/>
  <c r="D32" i="17"/>
  <c r="D124" i="16"/>
  <c r="L124" i="16" s="1"/>
  <c r="C28" i="17"/>
  <c r="C76" i="16"/>
  <c r="C64" i="16"/>
  <c r="C27" i="17"/>
  <c r="C40" i="16"/>
  <c r="C25" i="17"/>
  <c r="D14" i="10"/>
  <c r="C176" i="17"/>
  <c r="C226" i="9"/>
  <c r="C47" i="15"/>
  <c r="C177" i="17"/>
  <c r="C59" i="15"/>
  <c r="C234" i="9"/>
  <c r="D176" i="17"/>
  <c r="D47" i="15"/>
  <c r="D226" i="9"/>
  <c r="D142" i="16"/>
  <c r="L142" i="16" s="1"/>
  <c r="D143" i="15"/>
  <c r="D99" i="7"/>
  <c r="D118" i="16" s="1"/>
  <c r="L118" i="16" s="1"/>
  <c r="H177" i="17"/>
  <c r="H234" i="9"/>
  <c r="H59" i="15"/>
  <c r="D13" i="7"/>
  <c r="H102" i="7"/>
  <c r="H189" i="17"/>
  <c r="H70" i="16"/>
  <c r="L70" i="16" s="1"/>
  <c r="H176" i="17"/>
  <c r="H47" i="15"/>
  <c r="H226" i="9"/>
  <c r="C162" i="17"/>
  <c r="C69" i="16"/>
  <c r="H162" i="17"/>
  <c r="H69" i="16"/>
  <c r="D159" i="17"/>
  <c r="D33" i="16"/>
  <c r="L33" i="16" s="1"/>
  <c r="D148" i="17"/>
  <c r="D217" i="9"/>
  <c r="D34" i="15"/>
  <c r="H159" i="17"/>
  <c r="H33" i="16"/>
  <c r="H36" i="16" s="1"/>
  <c r="H13" i="16" s="1"/>
  <c r="D89" i="5"/>
  <c r="D121" i="17"/>
  <c r="D216" i="9"/>
  <c r="D33" i="15"/>
  <c r="H135" i="17"/>
  <c r="H68" i="16"/>
  <c r="H139" i="17"/>
  <c r="H120" i="16"/>
  <c r="H20" i="16" s="1"/>
  <c r="D135" i="17"/>
  <c r="D68" i="16"/>
  <c r="L68" i="16" s="1"/>
  <c r="D95" i="17"/>
  <c r="D44" i="15"/>
  <c r="D223" i="9"/>
  <c r="H67" i="16"/>
  <c r="H108" i="17"/>
  <c r="H114" i="17" s="1"/>
  <c r="C108" i="17"/>
  <c r="C67" i="16"/>
  <c r="D127" i="16"/>
  <c r="L127" i="16" s="1"/>
  <c r="D113" i="17"/>
  <c r="D99" i="4"/>
  <c r="H32" i="4"/>
  <c r="H68" i="17"/>
  <c r="H43" i="15"/>
  <c r="H222" i="9"/>
  <c r="C68" i="17"/>
  <c r="C222" i="9"/>
  <c r="C43" i="15"/>
  <c r="D86" i="17"/>
  <c r="D126" i="16"/>
  <c r="L126" i="16" s="1"/>
  <c r="D67" i="17"/>
  <c r="D214" i="9"/>
  <c r="D31" i="15"/>
  <c r="D40" i="17"/>
  <c r="D30" i="15"/>
  <c r="D213" i="9"/>
  <c r="H54" i="17"/>
  <c r="H60" i="17" s="1"/>
  <c r="H65" i="16"/>
  <c r="D137" i="16"/>
  <c r="L137" i="16" s="1"/>
  <c r="D99" i="2"/>
  <c r="D138" i="15"/>
  <c r="D59" i="17"/>
  <c r="D125" i="16"/>
  <c r="L125" i="16" s="1"/>
  <c r="C65" i="16"/>
  <c r="C54" i="17"/>
  <c r="C13" i="17"/>
  <c r="C212" i="9"/>
  <c r="C29" i="15"/>
  <c r="D14" i="17"/>
  <c r="D41" i="15"/>
  <c r="C194" i="9"/>
  <c r="C89" i="15"/>
  <c r="C97" i="15" s="1"/>
  <c r="C18" i="15" s="1"/>
  <c r="C32" i="11" s="1"/>
  <c r="C195" i="9"/>
  <c r="C19" i="17"/>
  <c r="C101" i="15"/>
  <c r="C15" i="17"/>
  <c r="C53" i="15"/>
  <c r="C16" i="17"/>
  <c r="C65" i="15"/>
  <c r="C14" i="17"/>
  <c r="C41" i="15"/>
  <c r="D18" i="17"/>
  <c r="D89" i="15"/>
  <c r="D97" i="15" s="1"/>
  <c r="D18" i="15" s="1"/>
  <c r="E14" i="17"/>
  <c r="E41" i="15"/>
  <c r="H58" i="15"/>
  <c r="H233" i="9"/>
  <c r="C233" i="9"/>
  <c r="C58" i="15"/>
  <c r="H232" i="9"/>
  <c r="H57" i="15"/>
  <c r="D57" i="15"/>
  <c r="D232" i="9"/>
  <c r="C57" i="15"/>
  <c r="C232" i="9"/>
  <c r="J179" i="9"/>
  <c r="D194" i="9"/>
  <c r="I95" i="7"/>
  <c r="D95" i="4"/>
  <c r="E29" i="4"/>
  <c r="E42" i="3"/>
  <c r="E33" i="3" s="1"/>
  <c r="D72" i="3"/>
  <c r="F33" i="3"/>
  <c r="F69" i="17" s="1"/>
  <c r="T82" i="9"/>
  <c r="Q120" i="9"/>
  <c r="P120" i="9"/>
  <c r="Q29" i="9"/>
  <c r="P29" i="9"/>
  <c r="D47" i="10"/>
  <c r="D80" i="10"/>
  <c r="E30" i="3"/>
  <c r="H6" i="3"/>
  <c r="C33" i="3"/>
  <c r="C69" i="17" s="1"/>
  <c r="D129" i="9"/>
  <c r="D42" i="3"/>
  <c r="D106" i="9"/>
  <c r="D30" i="3"/>
  <c r="H102" i="5"/>
  <c r="H6" i="5" s="1"/>
  <c r="D95" i="6"/>
  <c r="D13" i="9"/>
  <c r="D81" i="9"/>
  <c r="L81" i="9" s="1"/>
  <c r="D145" i="9"/>
  <c r="H32" i="2"/>
  <c r="H33" i="3"/>
  <c r="H69" i="17" s="1"/>
  <c r="H102" i="6"/>
  <c r="C32" i="2"/>
  <c r="C32" i="4"/>
  <c r="D30" i="10"/>
  <c r="D108" i="16" l="1"/>
  <c r="L100" i="16"/>
  <c r="C108" i="16"/>
  <c r="T100" i="16"/>
  <c r="C84" i="16"/>
  <c r="C48" i="16"/>
  <c r="E89" i="4"/>
  <c r="C104" i="5"/>
  <c r="C100" i="5" s="1"/>
  <c r="H184" i="17"/>
  <c r="C132" i="17"/>
  <c r="C32" i="16"/>
  <c r="C227" i="9"/>
  <c r="H195" i="17"/>
  <c r="H227" i="9"/>
  <c r="D89" i="7"/>
  <c r="H72" i="16"/>
  <c r="H16" i="16" s="1"/>
  <c r="H13" i="11" s="1"/>
  <c r="D157" i="17"/>
  <c r="H141" i="17"/>
  <c r="H143" i="17" s="1"/>
  <c r="D130" i="17"/>
  <c r="D115" i="16"/>
  <c r="L115" i="16" s="1"/>
  <c r="D102" i="4"/>
  <c r="D6" i="4" s="1"/>
  <c r="H90" i="3"/>
  <c r="H42" i="17"/>
  <c r="H49" i="17" s="1"/>
  <c r="H62" i="17" s="1"/>
  <c r="H89" i="2"/>
  <c r="D113" i="16"/>
  <c r="L113" i="16" s="1"/>
  <c r="C42" i="17"/>
  <c r="C49" i="17" s="1"/>
  <c r="C89" i="2"/>
  <c r="C105" i="2" s="1"/>
  <c r="D112" i="16"/>
  <c r="L112" i="16" s="1"/>
  <c r="D31" i="17"/>
  <c r="D40" i="16"/>
  <c r="D25" i="17"/>
  <c r="D177" i="17"/>
  <c r="D234" i="9"/>
  <c r="D59" i="15"/>
  <c r="C49" i="15"/>
  <c r="C14" i="15" s="1"/>
  <c r="C28" i="11" s="1"/>
  <c r="H49" i="15"/>
  <c r="H14" i="15" s="1"/>
  <c r="H28" i="11" s="1"/>
  <c r="D175" i="17"/>
  <c r="D218" i="9"/>
  <c r="D219" i="9" s="1"/>
  <c r="D35" i="15"/>
  <c r="I102" i="7"/>
  <c r="I189" i="17"/>
  <c r="I70" i="16"/>
  <c r="D193" i="17"/>
  <c r="D102" i="7"/>
  <c r="D6" i="7" s="1"/>
  <c r="D162" i="17"/>
  <c r="D69" i="16"/>
  <c r="L69" i="16" s="1"/>
  <c r="H10" i="11"/>
  <c r="H168" i="17"/>
  <c r="H170" i="17" s="1"/>
  <c r="D116" i="16"/>
  <c r="L116" i="16" s="1"/>
  <c r="D140" i="16"/>
  <c r="L140" i="16" s="1"/>
  <c r="D141" i="15"/>
  <c r="H17" i="11"/>
  <c r="L17" i="11" s="1"/>
  <c r="H18" i="11"/>
  <c r="C96" i="17"/>
  <c r="C103" i="17" s="1"/>
  <c r="C89" i="4"/>
  <c r="H96" i="17"/>
  <c r="H103" i="17" s="1"/>
  <c r="H116" i="17" s="1"/>
  <c r="H89" i="4"/>
  <c r="E113" i="17"/>
  <c r="E127" i="16"/>
  <c r="M127" i="16" s="1"/>
  <c r="E99" i="4"/>
  <c r="D108" i="17"/>
  <c r="D67" i="16"/>
  <c r="L67" i="16" s="1"/>
  <c r="C72" i="16"/>
  <c r="E95" i="17"/>
  <c r="E44" i="15"/>
  <c r="E223" i="9"/>
  <c r="D112" i="17"/>
  <c r="D68" i="17"/>
  <c r="D43" i="15"/>
  <c r="D49" i="15" s="1"/>
  <c r="D14" i="15" s="1"/>
  <c r="D222" i="9"/>
  <c r="D227" i="9" s="1"/>
  <c r="E68" i="17"/>
  <c r="E43" i="15"/>
  <c r="E222" i="9"/>
  <c r="E126" i="16"/>
  <c r="M126" i="16" s="1"/>
  <c r="E86" i="17"/>
  <c r="H76" i="17"/>
  <c r="H89" i="17" s="1"/>
  <c r="E137" i="16"/>
  <c r="M137" i="16" s="1"/>
  <c r="E99" i="2"/>
  <c r="E138" i="15"/>
  <c r="D58" i="17"/>
  <c r="E59" i="17"/>
  <c r="E125" i="16"/>
  <c r="M125" i="16" s="1"/>
  <c r="D132" i="16"/>
  <c r="L132" i="16" s="1"/>
  <c r="D16" i="17"/>
  <c r="L16" i="17" s="1"/>
  <c r="D65" i="15"/>
  <c r="L65" i="15" s="1"/>
  <c r="D197" i="9"/>
  <c r="D21" i="17"/>
  <c r="D125" i="15"/>
  <c r="D15" i="17"/>
  <c r="D53" i="15"/>
  <c r="P194" i="9"/>
  <c r="P18" i="17"/>
  <c r="P89" i="15"/>
  <c r="D195" i="9"/>
  <c r="D19" i="17"/>
  <c r="D101" i="15"/>
  <c r="P14" i="17"/>
  <c r="P41" i="15"/>
  <c r="Q194" i="9"/>
  <c r="Q18" i="17"/>
  <c r="Q89" i="15"/>
  <c r="D32" i="11"/>
  <c r="C73" i="15"/>
  <c r="D17" i="17"/>
  <c r="D77" i="15"/>
  <c r="Q14" i="17"/>
  <c r="Q41" i="15"/>
  <c r="D13" i="17"/>
  <c r="D29" i="15"/>
  <c r="C109" i="15"/>
  <c r="C19" i="15" s="1"/>
  <c r="C33" i="11" s="1"/>
  <c r="D58" i="15"/>
  <c r="D233" i="9"/>
  <c r="H56" i="15"/>
  <c r="H231" i="9"/>
  <c r="C231" i="9"/>
  <c r="C56" i="15"/>
  <c r="H230" i="9"/>
  <c r="H55" i="15"/>
  <c r="F55" i="15"/>
  <c r="F230" i="9"/>
  <c r="F235" i="9" s="1"/>
  <c r="C230" i="9"/>
  <c r="C55" i="15"/>
  <c r="C54" i="15"/>
  <c r="C229" i="9"/>
  <c r="H54" i="15"/>
  <c r="H229" i="9"/>
  <c r="P32" i="9"/>
  <c r="H5" i="6"/>
  <c r="H183" i="9" s="1"/>
  <c r="H6" i="6"/>
  <c r="D102" i="6"/>
  <c r="C5" i="5"/>
  <c r="C182" i="9" s="1"/>
  <c r="H5" i="5"/>
  <c r="H182" i="9" s="1"/>
  <c r="H6" i="4"/>
  <c r="J32" i="4"/>
  <c r="F30" i="3"/>
  <c r="F90" i="3" s="1"/>
  <c r="D33" i="3"/>
  <c r="D69" i="17" s="1"/>
  <c r="H6" i="2"/>
  <c r="P81" i="9"/>
  <c r="Q81" i="9"/>
  <c r="D42" i="10"/>
  <c r="D39" i="10" s="1"/>
  <c r="C42" i="10"/>
  <c r="S29" i="9"/>
  <c r="P129" i="9"/>
  <c r="S120" i="9"/>
  <c r="P13" i="9"/>
  <c r="Q13" i="9"/>
  <c r="D32" i="2"/>
  <c r="D72" i="10"/>
  <c r="D50" i="10"/>
  <c r="D13" i="10"/>
  <c r="I102" i="6"/>
  <c r="I6" i="6" s="1"/>
  <c r="E69" i="17"/>
  <c r="E5" i="4"/>
  <c r="E181" i="9" s="1"/>
  <c r="I145" i="9"/>
  <c r="I93" i="5"/>
  <c r="D95" i="2"/>
  <c r="D102" i="2" s="1"/>
  <c r="D32" i="4"/>
  <c r="C16" i="15" l="1"/>
  <c r="C30" i="11" s="1"/>
  <c r="D48" i="16"/>
  <c r="L40" i="16"/>
  <c r="C17" i="16"/>
  <c r="C19" i="16"/>
  <c r="C16" i="11" s="1"/>
  <c r="T108" i="16"/>
  <c r="C36" i="16"/>
  <c r="T32" i="16"/>
  <c r="I72" i="16"/>
  <c r="M70" i="16"/>
  <c r="C14" i="16"/>
  <c r="C11" i="11" s="1"/>
  <c r="D19" i="16"/>
  <c r="L108" i="16"/>
  <c r="C16" i="16"/>
  <c r="C13" i="11" s="1"/>
  <c r="C141" i="15"/>
  <c r="C99" i="5"/>
  <c r="C102" i="5" s="1"/>
  <c r="C140" i="16"/>
  <c r="H197" i="17"/>
  <c r="C139" i="17"/>
  <c r="C141" i="17" s="1"/>
  <c r="C143" i="17" s="1"/>
  <c r="C100" i="2"/>
  <c r="D108" i="2"/>
  <c r="C5" i="4"/>
  <c r="C181" i="9" s="1"/>
  <c r="C105" i="4"/>
  <c r="C100" i="4" s="1"/>
  <c r="I195" i="17"/>
  <c r="D184" i="17"/>
  <c r="D195" i="17"/>
  <c r="D168" i="17"/>
  <c r="E132" i="16"/>
  <c r="M132" i="16" s="1"/>
  <c r="E115" i="16"/>
  <c r="M115" i="16" s="1"/>
  <c r="E102" i="4"/>
  <c r="E6" i="4" s="1"/>
  <c r="E7" i="4" s="1"/>
  <c r="E103" i="17"/>
  <c r="E49" i="15"/>
  <c r="E14" i="15" s="1"/>
  <c r="D76" i="17"/>
  <c r="D90" i="3"/>
  <c r="E90" i="3"/>
  <c r="D42" i="17"/>
  <c r="D89" i="2"/>
  <c r="D5" i="2" s="1"/>
  <c r="D29" i="17"/>
  <c r="D88" i="16"/>
  <c r="D27" i="17"/>
  <c r="D64" i="16"/>
  <c r="L64" i="16" s="1"/>
  <c r="D26" i="17"/>
  <c r="D52" i="16"/>
  <c r="D24" i="17"/>
  <c r="D28" i="16"/>
  <c r="E102" i="2"/>
  <c r="E113" i="16"/>
  <c r="M113" i="16" s="1"/>
  <c r="E58" i="17"/>
  <c r="D37" i="15"/>
  <c r="D13" i="15" s="1"/>
  <c r="D27" i="11" s="1"/>
  <c r="D139" i="17"/>
  <c r="D6" i="5"/>
  <c r="I132" i="17"/>
  <c r="I32" i="16"/>
  <c r="I36" i="16" s="1"/>
  <c r="J139" i="17"/>
  <c r="H22" i="16"/>
  <c r="H9" i="16" s="1"/>
  <c r="J96" i="17"/>
  <c r="J89" i="4"/>
  <c r="J5" i="4" s="1"/>
  <c r="J181" i="9" s="1"/>
  <c r="D96" i="17"/>
  <c r="D89" i="4"/>
  <c r="D5" i="4" s="1"/>
  <c r="H61" i="15"/>
  <c r="H15" i="15" s="1"/>
  <c r="H29" i="11" s="1"/>
  <c r="E227" i="9"/>
  <c r="D114" i="17"/>
  <c r="E112" i="17"/>
  <c r="C61" i="15"/>
  <c r="C15" i="15" s="1"/>
  <c r="D28" i="11"/>
  <c r="E76" i="17"/>
  <c r="F68" i="17"/>
  <c r="F43" i="15"/>
  <c r="F49" i="15" s="1"/>
  <c r="F14" i="15" s="1"/>
  <c r="F222" i="9"/>
  <c r="F227" i="9" s="1"/>
  <c r="F61" i="15"/>
  <c r="F15" i="15" s="1"/>
  <c r="D65" i="16"/>
  <c r="L65" i="16" s="1"/>
  <c r="D54" i="17"/>
  <c r="H19" i="11"/>
  <c r="L19" i="11" s="1"/>
  <c r="D5" i="7"/>
  <c r="I21" i="17"/>
  <c r="I22" i="17" s="1"/>
  <c r="I125" i="15"/>
  <c r="S194" i="9"/>
  <c r="S18" i="17"/>
  <c r="S89" i="15"/>
  <c r="T29" i="9"/>
  <c r="S14" i="17"/>
  <c r="S41" i="15"/>
  <c r="D109" i="15"/>
  <c r="D19" i="15" s="1"/>
  <c r="P16" i="17"/>
  <c r="P65" i="15"/>
  <c r="P73" i="15" s="1"/>
  <c r="P195" i="9"/>
  <c r="P19" i="17"/>
  <c r="P101" i="15"/>
  <c r="D22" i="17"/>
  <c r="D73" i="15"/>
  <c r="P13" i="17"/>
  <c r="P29" i="15"/>
  <c r="Q13" i="17"/>
  <c r="Q29" i="15"/>
  <c r="Q16" i="17"/>
  <c r="Q65" i="15"/>
  <c r="Q73" i="15" s="1"/>
  <c r="P15" i="17"/>
  <c r="P53" i="15"/>
  <c r="D133" i="15"/>
  <c r="D21" i="15" s="1"/>
  <c r="D35" i="11" s="1"/>
  <c r="D85" i="15"/>
  <c r="D17" i="15" s="1"/>
  <c r="H6" i="7"/>
  <c r="C235" i="9"/>
  <c r="J231" i="9"/>
  <c r="J235" i="9" s="1"/>
  <c r="J56" i="15"/>
  <c r="I56" i="15"/>
  <c r="I231" i="9"/>
  <c r="I235" i="9" s="1"/>
  <c r="H235" i="9"/>
  <c r="D56" i="15"/>
  <c r="D231" i="9"/>
  <c r="D55" i="15"/>
  <c r="D230" i="9"/>
  <c r="E55" i="15"/>
  <c r="E230" i="9"/>
  <c r="E235" i="9" s="1"/>
  <c r="D54" i="15"/>
  <c r="D229" i="9"/>
  <c r="I171" i="9"/>
  <c r="I197" i="9"/>
  <c r="S81" i="9"/>
  <c r="V81" i="9" s="1"/>
  <c r="H7" i="6"/>
  <c r="I7" i="6"/>
  <c r="D6" i="6"/>
  <c r="D5" i="6"/>
  <c r="F5" i="3"/>
  <c r="F180" i="9" s="1"/>
  <c r="D5" i="5"/>
  <c r="D182" i="9" s="1"/>
  <c r="J102" i="5"/>
  <c r="H7" i="5"/>
  <c r="H5" i="4"/>
  <c r="H7" i="4" s="1"/>
  <c r="H5" i="3"/>
  <c r="H180" i="9" s="1"/>
  <c r="F6" i="3"/>
  <c r="I6" i="2"/>
  <c r="E6" i="2"/>
  <c r="E7" i="2" s="1"/>
  <c r="C5" i="2"/>
  <c r="C179" i="9" s="1"/>
  <c r="T120" i="9"/>
  <c r="H5" i="2"/>
  <c r="H179" i="9" s="1"/>
  <c r="S13" i="9"/>
  <c r="I168" i="9"/>
  <c r="I9" i="9" s="1"/>
  <c r="I5" i="4"/>
  <c r="E106" i="9"/>
  <c r="R106" i="9" s="1"/>
  <c r="E129" i="9"/>
  <c r="R129" i="9" s="1"/>
  <c r="E32" i="9"/>
  <c r="R32" i="9" s="1"/>
  <c r="D96" i="10"/>
  <c r="D9" i="10" s="1"/>
  <c r="D168" i="9"/>
  <c r="D16" i="15" l="1"/>
  <c r="L16" i="15" s="1"/>
  <c r="L73" i="15"/>
  <c r="C13" i="16"/>
  <c r="C10" i="11" s="1"/>
  <c r="J120" i="16"/>
  <c r="N116" i="16"/>
  <c r="I13" i="16"/>
  <c r="M13" i="16" s="1"/>
  <c r="M36" i="16"/>
  <c r="D60" i="16"/>
  <c r="L52" i="16"/>
  <c r="C14" i="11"/>
  <c r="P17" i="16"/>
  <c r="P14" i="11" s="1"/>
  <c r="L19" i="16"/>
  <c r="P19" i="16"/>
  <c r="P16" i="11" s="1"/>
  <c r="D16" i="11"/>
  <c r="D36" i="16"/>
  <c r="L28" i="16"/>
  <c r="D96" i="16"/>
  <c r="L88" i="16"/>
  <c r="I16" i="16"/>
  <c r="M72" i="16"/>
  <c r="D14" i="16"/>
  <c r="L48" i="16"/>
  <c r="R53" i="15"/>
  <c r="R15" i="17"/>
  <c r="R101" i="15"/>
  <c r="R195" i="9"/>
  <c r="R19" i="17"/>
  <c r="C116" i="16"/>
  <c r="R17" i="17"/>
  <c r="R77" i="15"/>
  <c r="R85" i="15" s="1"/>
  <c r="C137" i="16"/>
  <c r="C138" i="15"/>
  <c r="C99" i="2"/>
  <c r="C6" i="5"/>
  <c r="C139" i="16"/>
  <c r="C140" i="15"/>
  <c r="C99" i="4"/>
  <c r="J141" i="17"/>
  <c r="J143" i="17" s="1"/>
  <c r="J103" i="17"/>
  <c r="E28" i="11"/>
  <c r="D72" i="16"/>
  <c r="F76" i="17"/>
  <c r="I197" i="17"/>
  <c r="D197" i="17"/>
  <c r="D170" i="17"/>
  <c r="D141" i="17"/>
  <c r="E114" i="17"/>
  <c r="D103" i="17"/>
  <c r="D5" i="3"/>
  <c r="D180" i="9" s="1"/>
  <c r="E60" i="17"/>
  <c r="D60" i="17"/>
  <c r="D49" i="17"/>
  <c r="D33" i="17"/>
  <c r="I139" i="17"/>
  <c r="I10" i="11"/>
  <c r="J6" i="5"/>
  <c r="I61" i="15"/>
  <c r="I15" i="15" s="1"/>
  <c r="I29" i="11" s="1"/>
  <c r="J61" i="15"/>
  <c r="J15" i="15" s="1"/>
  <c r="D138" i="16"/>
  <c r="F28" i="11"/>
  <c r="F29" i="11"/>
  <c r="F23" i="15"/>
  <c r="D61" i="15"/>
  <c r="D15" i="15" s="1"/>
  <c r="D184" i="9"/>
  <c r="D7" i="7"/>
  <c r="D139" i="15"/>
  <c r="D145" i="15" s="1"/>
  <c r="D31" i="11"/>
  <c r="D33" i="11"/>
  <c r="D30" i="11"/>
  <c r="L30" i="11" s="1"/>
  <c r="S16" i="17"/>
  <c r="T16" i="17" s="1"/>
  <c r="S65" i="15"/>
  <c r="T13" i="9"/>
  <c r="S13" i="17"/>
  <c r="S29" i="15"/>
  <c r="E195" i="9"/>
  <c r="E19" i="17"/>
  <c r="E101" i="15"/>
  <c r="Q32" i="9"/>
  <c r="E15" i="17"/>
  <c r="E53" i="15"/>
  <c r="E61" i="15" s="1"/>
  <c r="E15" i="15" s="1"/>
  <c r="E17" i="17"/>
  <c r="E77" i="15"/>
  <c r="I133" i="15"/>
  <c r="I21" i="15" s="1"/>
  <c r="H7" i="7"/>
  <c r="C29" i="11"/>
  <c r="D183" i="9"/>
  <c r="D7" i="6"/>
  <c r="J198" i="9"/>
  <c r="J200" i="9" s="1"/>
  <c r="J205" i="9"/>
  <c r="I181" i="9"/>
  <c r="I205" i="9" s="1"/>
  <c r="I208" i="9" s="1"/>
  <c r="I209" i="9" s="1"/>
  <c r="H181" i="9"/>
  <c r="H205" i="9" s="1"/>
  <c r="H208" i="9" s="1"/>
  <c r="D7" i="4"/>
  <c r="D181" i="9"/>
  <c r="F205" i="9"/>
  <c r="F198" i="9"/>
  <c r="F200" i="9" s="1"/>
  <c r="D235" i="9"/>
  <c r="D179" i="9"/>
  <c r="T81" i="9"/>
  <c r="I6" i="7"/>
  <c r="F7" i="3"/>
  <c r="I102" i="5"/>
  <c r="D7" i="5"/>
  <c r="I6" i="4"/>
  <c r="H145" i="9"/>
  <c r="I6" i="3"/>
  <c r="E5" i="3"/>
  <c r="H7" i="3"/>
  <c r="D6" i="2"/>
  <c r="D7" i="2" s="1"/>
  <c r="Q106" i="9"/>
  <c r="Q129" i="9"/>
  <c r="I7" i="2"/>
  <c r="J6" i="2"/>
  <c r="H7" i="2"/>
  <c r="D9" i="9"/>
  <c r="S73" i="15" l="1"/>
  <c r="T73" i="15" s="1"/>
  <c r="T65" i="15"/>
  <c r="F9" i="15"/>
  <c r="I120" i="16"/>
  <c r="I20" i="16" s="1"/>
  <c r="M116" i="16"/>
  <c r="D13" i="16"/>
  <c r="L36" i="16"/>
  <c r="D15" i="16"/>
  <c r="L60" i="16"/>
  <c r="L138" i="16"/>
  <c r="L14" i="16"/>
  <c r="P14" i="16"/>
  <c r="P11" i="11" s="1"/>
  <c r="D11" i="11"/>
  <c r="D16" i="16"/>
  <c r="L72" i="16"/>
  <c r="M16" i="16"/>
  <c r="I13" i="11"/>
  <c r="J20" i="16"/>
  <c r="N20" i="16" s="1"/>
  <c r="N120" i="16"/>
  <c r="D18" i="16"/>
  <c r="L96" i="16"/>
  <c r="C102" i="2"/>
  <c r="C7" i="5"/>
  <c r="E180" i="9"/>
  <c r="E205" i="9" s="1"/>
  <c r="E208" i="9" s="1"/>
  <c r="C58" i="17"/>
  <c r="C60" i="17" s="1"/>
  <c r="C62" i="17" s="1"/>
  <c r="C113" i="16"/>
  <c r="C115" i="16"/>
  <c r="C112" i="17"/>
  <c r="C114" i="17" s="1"/>
  <c r="C116" i="17" s="1"/>
  <c r="C102" i="4"/>
  <c r="J116" i="17"/>
  <c r="F89" i="17"/>
  <c r="E62" i="17"/>
  <c r="I141" i="17"/>
  <c r="I143" i="17" s="1"/>
  <c r="D143" i="17"/>
  <c r="D116" i="17"/>
  <c r="E116" i="17"/>
  <c r="E138" i="16"/>
  <c r="D99" i="3"/>
  <c r="D85" i="17" s="1"/>
  <c r="D62" i="17"/>
  <c r="D35" i="17"/>
  <c r="L35" i="17" s="1"/>
  <c r="J18" i="11"/>
  <c r="J17" i="11"/>
  <c r="F37" i="11"/>
  <c r="J7" i="5"/>
  <c r="I18" i="11"/>
  <c r="I198" i="9"/>
  <c r="I200" i="9" s="1"/>
  <c r="J29" i="11"/>
  <c r="J37" i="11" s="1"/>
  <c r="J23" i="15"/>
  <c r="N23" i="15" s="1"/>
  <c r="D22" i="15"/>
  <c r="I35" i="11"/>
  <c r="I37" i="11" s="1"/>
  <c r="I23" i="15"/>
  <c r="I9" i="15" s="1"/>
  <c r="E29" i="11"/>
  <c r="Q19" i="17"/>
  <c r="Q101" i="15"/>
  <c r="Q17" i="17"/>
  <c r="Q77" i="15"/>
  <c r="Q85" i="15" s="1"/>
  <c r="H197" i="9"/>
  <c r="H209" i="9" s="1"/>
  <c r="H21" i="17"/>
  <c r="H125" i="15"/>
  <c r="E109" i="15"/>
  <c r="E19" i="15" s="1"/>
  <c r="E85" i="15"/>
  <c r="E17" i="15" s="1"/>
  <c r="S32" i="9"/>
  <c r="Q15" i="17"/>
  <c r="Q53" i="15"/>
  <c r="D29" i="11"/>
  <c r="I206" i="9"/>
  <c r="I7" i="4"/>
  <c r="J206" i="9"/>
  <c r="J208" i="9"/>
  <c r="J209" i="9" s="1"/>
  <c r="F208" i="9"/>
  <c r="F209" i="9" s="1"/>
  <c r="F206" i="9"/>
  <c r="E139" i="15"/>
  <c r="D205" i="9"/>
  <c r="D198" i="9"/>
  <c r="D200" i="9" s="1"/>
  <c r="S129" i="9"/>
  <c r="Q195" i="9"/>
  <c r="I7" i="7"/>
  <c r="I6" i="5"/>
  <c r="J6" i="4"/>
  <c r="H168" i="9"/>
  <c r="L168" i="9" s="1"/>
  <c r="I7" i="3"/>
  <c r="J6" i="3"/>
  <c r="J7" i="2"/>
  <c r="I39" i="10"/>
  <c r="C39" i="10"/>
  <c r="J22" i="16" l="1"/>
  <c r="N22" i="16" s="1"/>
  <c r="D24" i="33"/>
  <c r="D22" i="33" s="1"/>
  <c r="D27" i="33" s="1"/>
  <c r="N17" i="11"/>
  <c r="F41" i="11"/>
  <c r="N41" i="11" s="1"/>
  <c r="N37" i="11"/>
  <c r="P16" i="16"/>
  <c r="P13" i="11" s="1"/>
  <c r="L16" i="16"/>
  <c r="L18" i="16"/>
  <c r="P18" i="16"/>
  <c r="P15" i="11" s="1"/>
  <c r="D15" i="11"/>
  <c r="L15" i="16"/>
  <c r="D12" i="11"/>
  <c r="M138" i="16"/>
  <c r="D13" i="11"/>
  <c r="L13" i="16"/>
  <c r="P13" i="16"/>
  <c r="P10" i="11" s="1"/>
  <c r="D10" i="11"/>
  <c r="D21" i="16"/>
  <c r="L21" i="16" s="1"/>
  <c r="L144" i="16"/>
  <c r="C6" i="4"/>
  <c r="C6" i="2"/>
  <c r="E99" i="3"/>
  <c r="D114" i="16"/>
  <c r="D102" i="3"/>
  <c r="D6" i="3" s="1"/>
  <c r="D87" i="17"/>
  <c r="D23" i="15"/>
  <c r="D36" i="11"/>
  <c r="H22" i="17"/>
  <c r="I26" i="17"/>
  <c r="I52" i="16"/>
  <c r="C96" i="10"/>
  <c r="C9" i="10" s="1"/>
  <c r="L9" i="10" s="1"/>
  <c r="C52" i="16"/>
  <c r="C26" i="17"/>
  <c r="C33" i="17" s="1"/>
  <c r="J9" i="15"/>
  <c r="I17" i="11"/>
  <c r="M17" i="11" s="1"/>
  <c r="J9" i="16"/>
  <c r="J19" i="11"/>
  <c r="N19" i="11" s="1"/>
  <c r="H198" i="9"/>
  <c r="E145" i="15"/>
  <c r="H206" i="9"/>
  <c r="E31" i="11"/>
  <c r="E33" i="11"/>
  <c r="S195" i="9"/>
  <c r="S19" i="17"/>
  <c r="S101" i="15"/>
  <c r="T129" i="9"/>
  <c r="T32" i="9"/>
  <c r="S15" i="17"/>
  <c r="S53" i="15"/>
  <c r="H133" i="15"/>
  <c r="H21" i="15" s="1"/>
  <c r="E145" i="9"/>
  <c r="R145" i="9" s="1"/>
  <c r="D208" i="9"/>
  <c r="D209" i="9" s="1"/>
  <c r="D206" i="9"/>
  <c r="I7" i="5"/>
  <c r="J7" i="4"/>
  <c r="H9" i="9"/>
  <c r="L9" i="9" s="1"/>
  <c r="J7" i="3"/>
  <c r="I96" i="10"/>
  <c r="D28" i="33" l="1"/>
  <c r="H35" i="17"/>
  <c r="L22" i="17"/>
  <c r="D9" i="15"/>
  <c r="M9" i="15" s="1"/>
  <c r="I60" i="16"/>
  <c r="M52" i="16"/>
  <c r="C60" i="16"/>
  <c r="E21" i="16"/>
  <c r="M21" i="16" s="1"/>
  <c r="M144" i="16"/>
  <c r="D120" i="16"/>
  <c r="L114" i="16"/>
  <c r="C7" i="4"/>
  <c r="E102" i="3"/>
  <c r="C7" i="2"/>
  <c r="R21" i="17"/>
  <c r="R22" i="17" s="1"/>
  <c r="R197" i="9"/>
  <c r="R125" i="15"/>
  <c r="R133" i="15" s="1"/>
  <c r="E114" i="16"/>
  <c r="E85" i="17"/>
  <c r="E87" i="17"/>
  <c r="D37" i="11"/>
  <c r="D89" i="17"/>
  <c r="I33" i="17"/>
  <c r="J41" i="11"/>
  <c r="E22" i="15"/>
  <c r="E36" i="11" s="1"/>
  <c r="D18" i="11"/>
  <c r="H35" i="11"/>
  <c r="H23" i="15"/>
  <c r="L23" i="15" s="1"/>
  <c r="Q145" i="9"/>
  <c r="E21" i="17"/>
  <c r="E168" i="9"/>
  <c r="M168" i="9" s="1"/>
  <c r="E125" i="15"/>
  <c r="E6" i="3"/>
  <c r="E197" i="9"/>
  <c r="E206" i="9" s="1"/>
  <c r="H200" i="9"/>
  <c r="D7" i="3"/>
  <c r="F170" i="9"/>
  <c r="I9" i="10"/>
  <c r="M9" i="10" s="1"/>
  <c r="C15" i="16" l="1"/>
  <c r="E120" i="16"/>
  <c r="M114" i="16"/>
  <c r="D20" i="16"/>
  <c r="L120" i="16"/>
  <c r="I15" i="16"/>
  <c r="M60" i="16"/>
  <c r="E171" i="9"/>
  <c r="R168" i="9"/>
  <c r="E7" i="3"/>
  <c r="E89" i="17"/>
  <c r="E22" i="17"/>
  <c r="M22" i="17" s="1"/>
  <c r="I35" i="17"/>
  <c r="Q197" i="9"/>
  <c r="E18" i="11"/>
  <c r="E9" i="9"/>
  <c r="M9" i="9" s="1"/>
  <c r="Q125" i="15"/>
  <c r="Q133" i="15" s="1"/>
  <c r="Q21" i="17"/>
  <c r="Q22" i="17" s="1"/>
  <c r="H9" i="15"/>
  <c r="E133" i="15"/>
  <c r="E21" i="15" s="1"/>
  <c r="H37" i="11"/>
  <c r="L37" i="11" s="1"/>
  <c r="E198" i="9"/>
  <c r="E209" i="9"/>
  <c r="Q168" i="9"/>
  <c r="E20" i="16" l="1"/>
  <c r="M120" i="16"/>
  <c r="M15" i="16"/>
  <c r="I22" i="16"/>
  <c r="I9" i="16" s="1"/>
  <c r="I12" i="11"/>
  <c r="L20" i="16"/>
  <c r="D17" i="11"/>
  <c r="D22" i="16"/>
  <c r="C12" i="11"/>
  <c r="P15" i="16"/>
  <c r="P12" i="11" s="1"/>
  <c r="R9" i="9"/>
  <c r="E35" i="17"/>
  <c r="M35" i="17" s="1"/>
  <c r="E200" i="9"/>
  <c r="Q9" i="9"/>
  <c r="E35" i="11"/>
  <c r="R35" i="11" s="1"/>
  <c r="E23" i="15"/>
  <c r="H41" i="11"/>
  <c r="R36" i="11"/>
  <c r="R32" i="11"/>
  <c r="R31" i="11"/>
  <c r="R30" i="11"/>
  <c r="R34" i="11"/>
  <c r="R29" i="11"/>
  <c r="R28" i="11"/>
  <c r="R33" i="11"/>
  <c r="Q33" i="11"/>
  <c r="Q36" i="11"/>
  <c r="Q28" i="11"/>
  <c r="Q30" i="11"/>
  <c r="Q34" i="11"/>
  <c r="Q32" i="11"/>
  <c r="Q29" i="11"/>
  <c r="Q31" i="11"/>
  <c r="R27" i="11"/>
  <c r="Q27" i="11"/>
  <c r="R8" i="15"/>
  <c r="P8" i="15"/>
  <c r="P14" i="15" s="1"/>
  <c r="P30" i="11"/>
  <c r="P32" i="11"/>
  <c r="P33" i="11"/>
  <c r="P28" i="11"/>
  <c r="P29" i="11"/>
  <c r="R82" i="5"/>
  <c r="P34" i="11"/>
  <c r="R8" i="9"/>
  <c r="R10" i="4" s="1"/>
  <c r="P8" i="9"/>
  <c r="P88" i="9" s="1"/>
  <c r="Q51" i="10"/>
  <c r="S51" i="10" s="1"/>
  <c r="E9" i="15" l="1"/>
  <c r="R9" i="15" s="1"/>
  <c r="M23" i="15"/>
  <c r="D19" i="11"/>
  <c r="I19" i="11"/>
  <c r="M19" i="11" s="1"/>
  <c r="L22" i="16"/>
  <c r="D9" i="16"/>
  <c r="M9" i="16" s="1"/>
  <c r="M20" i="16"/>
  <c r="E17" i="11"/>
  <c r="E19" i="11" s="1"/>
  <c r="E22" i="16"/>
  <c r="P48" i="10"/>
  <c r="P13" i="10"/>
  <c r="R10" i="3"/>
  <c r="R98" i="3" s="1"/>
  <c r="R13" i="10"/>
  <c r="Q35" i="11"/>
  <c r="Q37" i="11" s="1"/>
  <c r="R85" i="3"/>
  <c r="R94" i="3"/>
  <c r="R93" i="3"/>
  <c r="Q82" i="5"/>
  <c r="Q8" i="16"/>
  <c r="Q13" i="10"/>
  <c r="R88" i="5"/>
  <c r="R87" i="5"/>
  <c r="R86" i="5"/>
  <c r="R102" i="5"/>
  <c r="R6" i="5" s="1"/>
  <c r="R84" i="5"/>
  <c r="R85" i="5"/>
  <c r="R83" i="5"/>
  <c r="R94" i="4"/>
  <c r="R93" i="4"/>
  <c r="R87" i="4"/>
  <c r="R84" i="4"/>
  <c r="R85" i="4"/>
  <c r="R88" i="4"/>
  <c r="R86" i="4"/>
  <c r="R83" i="4"/>
  <c r="R88" i="3"/>
  <c r="R10" i="2"/>
  <c r="E37" i="11"/>
  <c r="M37" i="11" s="1"/>
  <c r="Q9" i="15"/>
  <c r="N9" i="15"/>
  <c r="Q8" i="9"/>
  <c r="Q139" i="9" s="1"/>
  <c r="P57" i="10"/>
  <c r="Q41" i="10"/>
  <c r="Q40" i="10" s="1"/>
  <c r="P10" i="6"/>
  <c r="P76" i="6" s="1"/>
  <c r="Q10" i="3"/>
  <c r="R13" i="3"/>
  <c r="R67" i="17" s="1"/>
  <c r="R30" i="3"/>
  <c r="R68" i="17" s="1"/>
  <c r="R33" i="3"/>
  <c r="R69" i="17" s="1"/>
  <c r="R95" i="3"/>
  <c r="R99" i="3"/>
  <c r="R102" i="3"/>
  <c r="R10" i="6"/>
  <c r="R96" i="6" s="1"/>
  <c r="S32" i="11"/>
  <c r="S28" i="11"/>
  <c r="T28" i="11" s="1"/>
  <c r="S33" i="11"/>
  <c r="T33" i="11" s="1"/>
  <c r="R37" i="11"/>
  <c r="R38" i="3"/>
  <c r="R59" i="3"/>
  <c r="R22" i="3"/>
  <c r="R21" i="3"/>
  <c r="R53" i="3"/>
  <c r="R50" i="3"/>
  <c r="R74" i="3"/>
  <c r="R79" i="3"/>
  <c r="R60" i="3"/>
  <c r="R52" i="3"/>
  <c r="R19" i="3"/>
  <c r="R69" i="3"/>
  <c r="R43" i="3"/>
  <c r="R44" i="3"/>
  <c r="R82" i="3"/>
  <c r="R47" i="3"/>
  <c r="R78" i="3"/>
  <c r="R81" i="3"/>
  <c r="R36" i="3"/>
  <c r="R73" i="3"/>
  <c r="R64" i="3"/>
  <c r="R20" i="3"/>
  <c r="R54" i="3"/>
  <c r="R55" i="3"/>
  <c r="R45" i="3"/>
  <c r="R27" i="3"/>
  <c r="R18" i="3"/>
  <c r="R40" i="3"/>
  <c r="R80" i="3"/>
  <c r="R70" i="3"/>
  <c r="R56" i="3"/>
  <c r="R61" i="3"/>
  <c r="R23" i="3"/>
  <c r="R16" i="3"/>
  <c r="R41" i="3"/>
  <c r="R35" i="3"/>
  <c r="R57" i="3"/>
  <c r="R71" i="3"/>
  <c r="R62" i="3"/>
  <c r="R29" i="3"/>
  <c r="R67" i="3"/>
  <c r="R77" i="3"/>
  <c r="R75" i="3"/>
  <c r="R101" i="3"/>
  <c r="R68" i="3"/>
  <c r="R76" i="3"/>
  <c r="R48" i="3"/>
  <c r="R24" i="3"/>
  <c r="R39" i="3"/>
  <c r="R97" i="3"/>
  <c r="R42" i="3"/>
  <c r="R17" i="3"/>
  <c r="R28" i="3"/>
  <c r="R37" i="3"/>
  <c r="R66" i="3"/>
  <c r="R51" i="3"/>
  <c r="R65" i="3"/>
  <c r="R63" i="3"/>
  <c r="R58" i="3"/>
  <c r="R25" i="3"/>
  <c r="R26" i="3"/>
  <c r="R46" i="3"/>
  <c r="R84" i="3"/>
  <c r="R72" i="17" s="1"/>
  <c r="R49" i="3"/>
  <c r="R100" i="3"/>
  <c r="R138" i="16" s="1"/>
  <c r="R72" i="3"/>
  <c r="R96" i="3"/>
  <c r="R15" i="3"/>
  <c r="R31" i="3"/>
  <c r="R34" i="3"/>
  <c r="Q104" i="9"/>
  <c r="Q68" i="9"/>
  <c r="Q138" i="9"/>
  <c r="Q155" i="9"/>
  <c r="Q164" i="9"/>
  <c r="Q50" i="9"/>
  <c r="Q83" i="9"/>
  <c r="Q72" i="9"/>
  <c r="Q100" i="9"/>
  <c r="Q92" i="9"/>
  <c r="R42" i="2"/>
  <c r="R98" i="2"/>
  <c r="R23" i="2"/>
  <c r="R41" i="2"/>
  <c r="R57" i="2"/>
  <c r="R30" i="2"/>
  <c r="R53" i="2"/>
  <c r="R45" i="2"/>
  <c r="P10" i="4"/>
  <c r="R89" i="5"/>
  <c r="R5" i="5" s="1"/>
  <c r="R182" i="9" s="1"/>
  <c r="P50" i="9"/>
  <c r="R33" i="4"/>
  <c r="R71" i="4"/>
  <c r="R15" i="4"/>
  <c r="R22" i="4"/>
  <c r="R77" i="4"/>
  <c r="R51" i="4"/>
  <c r="R52" i="4"/>
  <c r="R34" i="4"/>
  <c r="R44" i="4"/>
  <c r="R35" i="4"/>
  <c r="R64" i="4"/>
  <c r="R80" i="4"/>
  <c r="R63" i="4"/>
  <c r="R73" i="4"/>
  <c r="R18" i="4"/>
  <c r="R26" i="4"/>
  <c r="R81" i="4"/>
  <c r="R40" i="4"/>
  <c r="R42" i="4"/>
  <c r="R99" i="4"/>
  <c r="R57" i="4"/>
  <c r="R60" i="4"/>
  <c r="R72" i="4"/>
  <c r="R16" i="4"/>
  <c r="R30" i="4"/>
  <c r="R43" i="4"/>
  <c r="R55" i="4"/>
  <c r="R45" i="4"/>
  <c r="R69" i="4"/>
  <c r="R58" i="4"/>
  <c r="R70" i="4"/>
  <c r="R65" i="4"/>
  <c r="R21" i="4"/>
  <c r="R24" i="4"/>
  <c r="R38" i="4"/>
  <c r="R98" i="4"/>
  <c r="R76" i="4"/>
  <c r="R19" i="4"/>
  <c r="R47" i="4"/>
  <c r="R59" i="4"/>
  <c r="R101" i="4"/>
  <c r="R14" i="4"/>
  <c r="R95" i="4"/>
  <c r="R41" i="4"/>
  <c r="R39" i="4"/>
  <c r="R96" i="4"/>
  <c r="R74" i="4"/>
  <c r="R37" i="4"/>
  <c r="R28" i="4"/>
  <c r="R97" i="4"/>
  <c r="R17" i="4"/>
  <c r="R75" i="4"/>
  <c r="R54" i="4"/>
  <c r="R56" i="4"/>
  <c r="R50" i="4"/>
  <c r="R78" i="4"/>
  <c r="R27" i="4"/>
  <c r="R49" i="4"/>
  <c r="R62" i="4"/>
  <c r="R25" i="4"/>
  <c r="R23" i="4"/>
  <c r="R46" i="4"/>
  <c r="R68" i="4"/>
  <c r="R61" i="4"/>
  <c r="R36" i="4"/>
  <c r="R79" i="4"/>
  <c r="R66" i="4"/>
  <c r="R100" i="4"/>
  <c r="R13" i="4"/>
  <c r="R94" i="17" s="1"/>
  <c r="R20" i="4"/>
  <c r="R67" i="4"/>
  <c r="R53" i="4"/>
  <c r="R32" i="4"/>
  <c r="R96" i="17" s="1"/>
  <c r="R48" i="4"/>
  <c r="R29" i="4"/>
  <c r="R95" i="17" s="1"/>
  <c r="R89" i="4"/>
  <c r="R5" i="4" s="1"/>
  <c r="R181" i="9" s="1"/>
  <c r="P117" i="9"/>
  <c r="P146" i="9"/>
  <c r="P38" i="9"/>
  <c r="P10" i="7"/>
  <c r="Q10" i="2"/>
  <c r="P10" i="2"/>
  <c r="P15" i="9"/>
  <c r="P44" i="9"/>
  <c r="P10" i="5"/>
  <c r="P82" i="5" s="1"/>
  <c r="P107" i="9"/>
  <c r="P64" i="9"/>
  <c r="P10" i="3"/>
  <c r="P98" i="3" s="1"/>
  <c r="Q10" i="4"/>
  <c r="S29" i="11"/>
  <c r="P130" i="9"/>
  <c r="P26" i="9"/>
  <c r="R68" i="10"/>
  <c r="P14" i="10"/>
  <c r="R102" i="4"/>
  <c r="R6" i="4" s="1"/>
  <c r="P147" i="9"/>
  <c r="P124" i="9"/>
  <c r="P143" i="9"/>
  <c r="P81" i="10"/>
  <c r="P30" i="9"/>
  <c r="P85" i="9"/>
  <c r="P41" i="9"/>
  <c r="P71" i="10"/>
  <c r="P78" i="10"/>
  <c r="P89" i="9"/>
  <c r="P69" i="10"/>
  <c r="P151" i="9"/>
  <c r="P53" i="9"/>
  <c r="P86" i="9"/>
  <c r="R89" i="6"/>
  <c r="R5" i="6" s="1"/>
  <c r="R183" i="9" s="1"/>
  <c r="P51" i="9"/>
  <c r="P110" i="9"/>
  <c r="P139" i="9"/>
  <c r="R164" i="9"/>
  <c r="R107" i="9"/>
  <c r="R140" i="9"/>
  <c r="R66" i="9"/>
  <c r="R113" i="9"/>
  <c r="R148" i="9"/>
  <c r="R143" i="9"/>
  <c r="R146" i="9"/>
  <c r="R42" i="9"/>
  <c r="R59" i="9"/>
  <c r="R142" i="9"/>
  <c r="R21" i="9"/>
  <c r="R15" i="9"/>
  <c r="R139" i="9"/>
  <c r="R136" i="9"/>
  <c r="R38" i="9"/>
  <c r="R57" i="9"/>
  <c r="R100" i="9"/>
  <c r="R25" i="9"/>
  <c r="R23" i="9"/>
  <c r="R97" i="9"/>
  <c r="R123" i="9"/>
  <c r="R37" i="9"/>
  <c r="R158" i="9"/>
  <c r="R102" i="9"/>
  <c r="R68" i="9"/>
  <c r="R18" i="9"/>
  <c r="R152" i="9"/>
  <c r="R30" i="9"/>
  <c r="R43" i="9"/>
  <c r="R155" i="9"/>
  <c r="R151" i="9"/>
  <c r="R65" i="9"/>
  <c r="R103" i="9"/>
  <c r="R166" i="9"/>
  <c r="R78" i="9"/>
  <c r="R122" i="9"/>
  <c r="R50" i="9"/>
  <c r="R95" i="9"/>
  <c r="R34" i="9"/>
  <c r="R111" i="9"/>
  <c r="R116" i="9"/>
  <c r="R137" i="9"/>
  <c r="R39" i="9"/>
  <c r="R46" i="9"/>
  <c r="R87" i="9"/>
  <c r="R27" i="9"/>
  <c r="R101" i="9"/>
  <c r="R114" i="9"/>
  <c r="R131" i="9"/>
  <c r="R118" i="9"/>
  <c r="R40" i="9"/>
  <c r="R83" i="9"/>
  <c r="R161" i="9"/>
  <c r="R165" i="9"/>
  <c r="R72" i="9"/>
  <c r="R20" i="9"/>
  <c r="R149" i="9"/>
  <c r="R56" i="9"/>
  <c r="R60" i="9"/>
  <c r="R22" i="9"/>
  <c r="R45" i="9"/>
  <c r="R121" i="9"/>
  <c r="R52" i="9"/>
  <c r="R79" i="9"/>
  <c r="R75" i="9"/>
  <c r="R96" i="9"/>
  <c r="R99" i="9"/>
  <c r="R133" i="9"/>
  <c r="R41" i="9"/>
  <c r="R88" i="9"/>
  <c r="R127" i="9"/>
  <c r="R51" i="9"/>
  <c r="R162" i="9"/>
  <c r="R53" i="9"/>
  <c r="R71" i="9"/>
  <c r="R89" i="9"/>
  <c r="R73" i="9"/>
  <c r="R36" i="9"/>
  <c r="R44" i="9"/>
  <c r="R157" i="9"/>
  <c r="R49" i="9"/>
  <c r="R62" i="9"/>
  <c r="R76" i="9"/>
  <c r="R35" i="9"/>
  <c r="R90" i="9"/>
  <c r="R26" i="9"/>
  <c r="R153" i="9"/>
  <c r="R58" i="9"/>
  <c r="R77" i="9"/>
  <c r="R92" i="9"/>
  <c r="R150" i="9"/>
  <c r="R63" i="9"/>
  <c r="R85" i="9"/>
  <c r="R130" i="9"/>
  <c r="R54" i="9"/>
  <c r="R141" i="9"/>
  <c r="R16" i="9"/>
  <c r="R84" i="9"/>
  <c r="R70" i="9"/>
  <c r="R48" i="9"/>
  <c r="R108" i="9"/>
  <c r="R74" i="9"/>
  <c r="R19" i="9"/>
  <c r="R94" i="9"/>
  <c r="R91" i="9"/>
  <c r="R86" i="9"/>
  <c r="R125" i="9"/>
  <c r="R124" i="9"/>
  <c r="R147" i="9"/>
  <c r="R98" i="9"/>
  <c r="R47" i="9"/>
  <c r="R109" i="9"/>
  <c r="R163" i="9"/>
  <c r="R64" i="9"/>
  <c r="R110" i="9"/>
  <c r="R61" i="9"/>
  <c r="R154" i="9"/>
  <c r="R156" i="9"/>
  <c r="R69" i="9"/>
  <c r="R138" i="9"/>
  <c r="R104" i="9"/>
  <c r="R33" i="9"/>
  <c r="R17" i="9"/>
  <c r="R159" i="9"/>
  <c r="R126" i="9"/>
  <c r="R160" i="9"/>
  <c r="R132" i="9"/>
  <c r="R55" i="9"/>
  <c r="R115" i="9"/>
  <c r="R117" i="9"/>
  <c r="R67" i="9"/>
  <c r="R112" i="9"/>
  <c r="P70" i="9"/>
  <c r="S34" i="11"/>
  <c r="R85" i="10"/>
  <c r="R24" i="10"/>
  <c r="R70" i="10"/>
  <c r="R94" i="10"/>
  <c r="R46" i="10"/>
  <c r="R53" i="10"/>
  <c r="R32" i="10"/>
  <c r="R38" i="10"/>
  <c r="R56" i="10"/>
  <c r="R83" i="10"/>
  <c r="R27" i="10"/>
  <c r="R95" i="10"/>
  <c r="R86" i="10"/>
  <c r="R22" i="10"/>
  <c r="R31" i="10"/>
  <c r="R43" i="10"/>
  <c r="R58" i="10"/>
  <c r="R63" i="10"/>
  <c r="R71" i="10"/>
  <c r="R16" i="10"/>
  <c r="R18" i="10"/>
  <c r="R55" i="10"/>
  <c r="R33" i="10"/>
  <c r="R21" i="10"/>
  <c r="R15" i="10"/>
  <c r="R17" i="10"/>
  <c r="R44" i="10"/>
  <c r="R49" i="10"/>
  <c r="R61" i="10"/>
  <c r="R59" i="10"/>
  <c r="R75" i="10"/>
  <c r="R57" i="10"/>
  <c r="R64" i="10"/>
  <c r="R23" i="10"/>
  <c r="R69" i="10"/>
  <c r="R88" i="10"/>
  <c r="R45" i="10"/>
  <c r="R62" i="10"/>
  <c r="R90" i="10"/>
  <c r="R66" i="10"/>
  <c r="R34" i="10"/>
  <c r="R91" i="10"/>
  <c r="R28" i="10"/>
  <c r="R65" i="10"/>
  <c r="R84" i="10"/>
  <c r="R89" i="10"/>
  <c r="R74" i="10"/>
  <c r="R92" i="10"/>
  <c r="R29" i="10"/>
  <c r="R60" i="10"/>
  <c r="R93" i="10"/>
  <c r="R19" i="10"/>
  <c r="R20" i="10"/>
  <c r="R87" i="10"/>
  <c r="R78" i="10"/>
  <c r="R79" i="10"/>
  <c r="R54" i="10"/>
  <c r="R36" i="10"/>
  <c r="R82" i="10"/>
  <c r="R41" i="10"/>
  <c r="R40" i="10" s="1"/>
  <c r="R73" i="10"/>
  <c r="R10" i="7"/>
  <c r="R26" i="10"/>
  <c r="R52" i="10"/>
  <c r="R81" i="10"/>
  <c r="P35" i="9"/>
  <c r="P60" i="10"/>
  <c r="R14" i="10"/>
  <c r="P19" i="10"/>
  <c r="P89" i="10"/>
  <c r="P160" i="9"/>
  <c r="P26" i="10"/>
  <c r="P20" i="9"/>
  <c r="R48" i="10"/>
  <c r="P87" i="10"/>
  <c r="S30" i="11"/>
  <c r="R77" i="10"/>
  <c r="P101" i="9"/>
  <c r="P94" i="9"/>
  <c r="P42" i="9"/>
  <c r="P61" i="9"/>
  <c r="P55" i="9"/>
  <c r="P76" i="9"/>
  <c r="P150" i="9"/>
  <c r="P154" i="9"/>
  <c r="P140" i="9"/>
  <c r="P57" i="9"/>
  <c r="P141" i="9"/>
  <c r="P71" i="9"/>
  <c r="P34" i="9"/>
  <c r="P40" i="9"/>
  <c r="P78" i="9"/>
  <c r="P137" i="9"/>
  <c r="P125" i="9"/>
  <c r="P75" i="9"/>
  <c r="P138" i="9"/>
  <c r="P113" i="9"/>
  <c r="P48" i="9"/>
  <c r="P127" i="9"/>
  <c r="P157" i="9"/>
  <c r="P95" i="9"/>
  <c r="P73" i="9"/>
  <c r="P67" i="9"/>
  <c r="P63" i="9"/>
  <c r="P165" i="9"/>
  <c r="P132" i="9"/>
  <c r="P99" i="9"/>
  <c r="P162" i="9"/>
  <c r="P155" i="9"/>
  <c r="P100" i="9"/>
  <c r="P36" i="9"/>
  <c r="P72" i="9"/>
  <c r="P66" i="9"/>
  <c r="P115" i="9"/>
  <c r="P33" i="9"/>
  <c r="P59" i="9"/>
  <c r="P126" i="9"/>
  <c r="P158" i="9"/>
  <c r="P109" i="9"/>
  <c r="P19" i="9"/>
  <c r="P56" i="9"/>
  <c r="P54" i="9"/>
  <c r="P122" i="9"/>
  <c r="P148" i="9"/>
  <c r="P87" i="9"/>
  <c r="P142" i="9"/>
  <c r="P163" i="9"/>
  <c r="P131" i="9"/>
  <c r="P45" i="9"/>
  <c r="P152" i="9"/>
  <c r="P49" i="9"/>
  <c r="P92" i="9"/>
  <c r="P47" i="9"/>
  <c r="P39" i="9"/>
  <c r="P90" i="9"/>
  <c r="P121" i="9"/>
  <c r="P111" i="9"/>
  <c r="P21" i="9"/>
  <c r="P27" i="9"/>
  <c r="P16" i="9"/>
  <c r="P65" i="9"/>
  <c r="P37" i="9"/>
  <c r="P149" i="9"/>
  <c r="P77" i="9"/>
  <c r="P91" i="9"/>
  <c r="P23" i="9"/>
  <c r="P164" i="9"/>
  <c r="P102" i="9"/>
  <c r="P68" i="9"/>
  <c r="P156" i="9"/>
  <c r="P103" i="9"/>
  <c r="P62" i="9"/>
  <c r="P52" i="9"/>
  <c r="P46" i="9"/>
  <c r="P136" i="9"/>
  <c r="P97" i="9"/>
  <c r="P133" i="9"/>
  <c r="P74" i="9"/>
  <c r="P79" i="9"/>
  <c r="P108" i="9"/>
  <c r="P159" i="9"/>
  <c r="P25" i="9"/>
  <c r="Q26" i="3"/>
  <c r="R47" i="5"/>
  <c r="R46" i="5"/>
  <c r="R18" i="5"/>
  <c r="R65" i="5"/>
  <c r="R57" i="5"/>
  <c r="R42" i="5"/>
  <c r="R40" i="5"/>
  <c r="R21" i="5"/>
  <c r="R100" i="5"/>
  <c r="R69" i="5"/>
  <c r="R99" i="5"/>
  <c r="R33" i="5"/>
  <c r="R37" i="5"/>
  <c r="R43" i="5"/>
  <c r="R71" i="5"/>
  <c r="R23" i="5"/>
  <c r="R22" i="5"/>
  <c r="R55" i="5"/>
  <c r="R94" i="5"/>
  <c r="R25" i="5"/>
  <c r="R26" i="5"/>
  <c r="R19" i="5"/>
  <c r="R101" i="5"/>
  <c r="R73" i="5"/>
  <c r="R70" i="5"/>
  <c r="R78" i="5"/>
  <c r="R48" i="5"/>
  <c r="R54" i="5"/>
  <c r="R56" i="5"/>
  <c r="R49" i="5"/>
  <c r="R93" i="5"/>
  <c r="R27" i="5"/>
  <c r="R24" i="5"/>
  <c r="R50" i="5"/>
  <c r="R52" i="5"/>
  <c r="R60" i="5"/>
  <c r="R16" i="5"/>
  <c r="R58" i="5"/>
  <c r="R51" i="5"/>
  <c r="R53" i="5"/>
  <c r="R67" i="5"/>
  <c r="R68" i="5"/>
  <c r="R17" i="5"/>
  <c r="R98" i="5"/>
  <c r="R14" i="5"/>
  <c r="R38" i="5"/>
  <c r="R77" i="5"/>
  <c r="R75" i="5"/>
  <c r="R34" i="5"/>
  <c r="R35" i="5"/>
  <c r="R79" i="5"/>
  <c r="R20" i="5"/>
  <c r="R15" i="5"/>
  <c r="R36" i="5"/>
  <c r="R61" i="5"/>
  <c r="R41" i="5"/>
  <c r="R72" i="5"/>
  <c r="R63" i="5"/>
  <c r="R80" i="5"/>
  <c r="R81" i="5"/>
  <c r="R30" i="5"/>
  <c r="R76" i="5"/>
  <c r="R44" i="5"/>
  <c r="R74" i="5"/>
  <c r="R62" i="5"/>
  <c r="R64" i="5"/>
  <c r="R66" i="5"/>
  <c r="R95" i="5"/>
  <c r="R39" i="5"/>
  <c r="R59" i="5"/>
  <c r="R45" i="5"/>
  <c r="R32" i="5"/>
  <c r="R123" i="17" s="1"/>
  <c r="R13" i="5"/>
  <c r="R121" i="17" s="1"/>
  <c r="R96" i="5"/>
  <c r="R29" i="5"/>
  <c r="R122" i="17" s="1"/>
  <c r="P43" i="9"/>
  <c r="P166" i="9"/>
  <c r="P116" i="9"/>
  <c r="P96" i="9"/>
  <c r="P22" i="9"/>
  <c r="Q23" i="10"/>
  <c r="Q65" i="10"/>
  <c r="Q33" i="10"/>
  <c r="Q18" i="10"/>
  <c r="Q54" i="10"/>
  <c r="Q27" i="10"/>
  <c r="Q57" i="10"/>
  <c r="Q35" i="10"/>
  <c r="Q86" i="10"/>
  <c r="Q58" i="10"/>
  <c r="Q71" i="10"/>
  <c r="Q94" i="10"/>
  <c r="Q62" i="10"/>
  <c r="Q82" i="10"/>
  <c r="Q64" i="10"/>
  <c r="Q81" i="10"/>
  <c r="Q85" i="10"/>
  <c r="Q91" i="10"/>
  <c r="Q69" i="10"/>
  <c r="Q45" i="10"/>
  <c r="Q22" i="10"/>
  <c r="Q95" i="10"/>
  <c r="Q74" i="10"/>
  <c r="Q15" i="10"/>
  <c r="Q28" i="10"/>
  <c r="Q34" i="10"/>
  <c r="Q24" i="10"/>
  <c r="Q38" i="10"/>
  <c r="Q70" i="10"/>
  <c r="Q49" i="10"/>
  <c r="Q60" i="10"/>
  <c r="Q19" i="10"/>
  <c r="Q61" i="10"/>
  <c r="Q78" i="10"/>
  <c r="Q17" i="10"/>
  <c r="Q55" i="10"/>
  <c r="Q63" i="10"/>
  <c r="Q37" i="10"/>
  <c r="Q44" i="10"/>
  <c r="Q36" i="10"/>
  <c r="Q29" i="10"/>
  <c r="Q56" i="10"/>
  <c r="Q87" i="10"/>
  <c r="Q20" i="10"/>
  <c r="Q46" i="10"/>
  <c r="Q93" i="10"/>
  <c r="Q43" i="10"/>
  <c r="Q75" i="10"/>
  <c r="Q32" i="10"/>
  <c r="Q92" i="10"/>
  <c r="Q79" i="10"/>
  <c r="Q90" i="10"/>
  <c r="Q83" i="10"/>
  <c r="Q66" i="10"/>
  <c r="Q21" i="10"/>
  <c r="Q53" i="10"/>
  <c r="Q88" i="10"/>
  <c r="Q31" i="10"/>
  <c r="Q16" i="10"/>
  <c r="Q52" i="10"/>
  <c r="Q59" i="10"/>
  <c r="Q84" i="10"/>
  <c r="Q8" i="15"/>
  <c r="Q73" i="10"/>
  <c r="Q89" i="10"/>
  <c r="Q77" i="10"/>
  <c r="Q68" i="10"/>
  <c r="Q26" i="10"/>
  <c r="Q10" i="7"/>
  <c r="Q48" i="10"/>
  <c r="Q47" i="10" s="1"/>
  <c r="P44" i="10"/>
  <c r="P21" i="10"/>
  <c r="P91" i="10"/>
  <c r="P86" i="10"/>
  <c r="P61" i="10"/>
  <c r="P92" i="10"/>
  <c r="P63" i="10"/>
  <c r="P74" i="10"/>
  <c r="P59" i="10"/>
  <c r="P64" i="10"/>
  <c r="P32" i="10"/>
  <c r="P58" i="10"/>
  <c r="P66" i="10"/>
  <c r="P20" i="10"/>
  <c r="P54" i="10"/>
  <c r="P65" i="10"/>
  <c r="P29" i="10"/>
  <c r="P94" i="10"/>
  <c r="P84" i="10"/>
  <c r="P55" i="10"/>
  <c r="P23" i="10"/>
  <c r="P24" i="10"/>
  <c r="P16" i="10"/>
  <c r="P77" i="10"/>
  <c r="P88" i="10"/>
  <c r="P37" i="10"/>
  <c r="P36" i="10"/>
  <c r="P82" i="10"/>
  <c r="P93" i="10"/>
  <c r="P79" i="10"/>
  <c r="P85" i="10"/>
  <c r="P95" i="10"/>
  <c r="P90" i="10"/>
  <c r="P43" i="10"/>
  <c r="P83" i="10"/>
  <c r="P45" i="10"/>
  <c r="P27" i="10"/>
  <c r="P31" i="10"/>
  <c r="P53" i="10"/>
  <c r="P56" i="10"/>
  <c r="P62" i="10"/>
  <c r="P49" i="10"/>
  <c r="P35" i="10"/>
  <c r="P52" i="10"/>
  <c r="P34" i="10"/>
  <c r="P28" i="10"/>
  <c r="P75" i="10"/>
  <c r="P18" i="10"/>
  <c r="P22" i="10"/>
  <c r="P17" i="10"/>
  <c r="P68" i="10"/>
  <c r="P41" i="10"/>
  <c r="P73" i="10"/>
  <c r="P33" i="10"/>
  <c r="P38" i="10"/>
  <c r="Q10" i="6"/>
  <c r="P83" i="9"/>
  <c r="P98" i="9"/>
  <c r="Q14" i="10"/>
  <c r="P84" i="9"/>
  <c r="P104" i="9"/>
  <c r="P123" i="9"/>
  <c r="P46" i="10"/>
  <c r="P58" i="9"/>
  <c r="P114" i="9"/>
  <c r="P153" i="9"/>
  <c r="P70" i="10"/>
  <c r="P60" i="9"/>
  <c r="P112" i="9"/>
  <c r="P69" i="9"/>
  <c r="P18" i="9"/>
  <c r="P17" i="9"/>
  <c r="P20" i="15"/>
  <c r="P16" i="15"/>
  <c r="P18" i="15"/>
  <c r="P15" i="15"/>
  <c r="P19" i="15"/>
  <c r="R15" i="15"/>
  <c r="R16" i="15"/>
  <c r="R20" i="15"/>
  <c r="R17" i="15"/>
  <c r="R18" i="15"/>
  <c r="R21" i="15"/>
  <c r="R14" i="15"/>
  <c r="R19" i="15"/>
  <c r="R13" i="15"/>
  <c r="Q22" i="9" l="1"/>
  <c r="Q84" i="9"/>
  <c r="Q160" i="9"/>
  <c r="Q77" i="9"/>
  <c r="Q132" i="9"/>
  <c r="Q110" i="9"/>
  <c r="Q89" i="5"/>
  <c r="Q5" i="5" s="1"/>
  <c r="Q182" i="9" s="1"/>
  <c r="Q24" i="5"/>
  <c r="Q108" i="9"/>
  <c r="Q27" i="9"/>
  <c r="Q51" i="9"/>
  <c r="S51" i="9" s="1"/>
  <c r="Q107" i="9"/>
  <c r="Q69" i="9"/>
  <c r="Q165" i="9"/>
  <c r="Q123" i="9"/>
  <c r="Q140" i="9"/>
  <c r="Q16" i="9"/>
  <c r="Q23" i="9"/>
  <c r="Q54" i="9"/>
  <c r="Q116" i="9"/>
  <c r="Q153" i="9"/>
  <c r="Q154" i="9"/>
  <c r="Q130" i="9"/>
  <c r="Q58" i="9"/>
  <c r="Q157" i="9"/>
  <c r="Q56" i="5"/>
  <c r="Q149" i="9"/>
  <c r="S149" i="9" s="1"/>
  <c r="Q64" i="9"/>
  <c r="Q142" i="9"/>
  <c r="Q47" i="9"/>
  <c r="Q17" i="9"/>
  <c r="Q99" i="9"/>
  <c r="Q46" i="9"/>
  <c r="Q86" i="9"/>
  <c r="Q25" i="9"/>
  <c r="S25" i="9" s="1"/>
  <c r="Q44" i="9"/>
  <c r="Q33" i="9"/>
  <c r="Q90" i="9"/>
  <c r="Q18" i="9"/>
  <c r="Q141" i="9"/>
  <c r="Q26" i="9"/>
  <c r="Q87" i="9"/>
  <c r="Q35" i="5"/>
  <c r="Q86" i="5"/>
  <c r="Q60" i="9"/>
  <c r="Q43" i="9"/>
  <c r="Q57" i="9"/>
  <c r="Q74" i="9"/>
  <c r="Q152" i="9"/>
  <c r="Q34" i="9"/>
  <c r="S34" i="9" s="1"/>
  <c r="T34" i="9" s="1"/>
  <c r="Q122" i="9"/>
  <c r="Q38" i="9"/>
  <c r="Q35" i="9"/>
  <c r="Q53" i="9"/>
  <c r="Q76" i="9"/>
  <c r="Q115" i="9"/>
  <c r="Q97" i="9"/>
  <c r="Q137" i="9"/>
  <c r="S137" i="9" s="1"/>
  <c r="Q95" i="9"/>
  <c r="Q65" i="5"/>
  <c r="Q161" i="9"/>
  <c r="Q36" i="9"/>
  <c r="Q158" i="9"/>
  <c r="Q148" i="9"/>
  <c r="Q114" i="9"/>
  <c r="Q91" i="9"/>
  <c r="Q62" i="9"/>
  <c r="Q48" i="9"/>
  <c r="Q162" i="9"/>
  <c r="Q63" i="9"/>
  <c r="Q45" i="9"/>
  <c r="Q118" i="9"/>
  <c r="Q131" i="9"/>
  <c r="Q147" i="9"/>
  <c r="S147" i="9" s="1"/>
  <c r="Q156" i="9"/>
  <c r="Q39" i="9"/>
  <c r="Q151" i="9"/>
  <c r="Q69" i="5"/>
  <c r="Q124" i="9"/>
  <c r="Q117" i="9"/>
  <c r="Q102" i="9"/>
  <c r="Q163" i="9"/>
  <c r="S163" i="9" s="1"/>
  <c r="Q113" i="9"/>
  <c r="Q121" i="9"/>
  <c r="Q79" i="9"/>
  <c r="Q66" i="9"/>
  <c r="Q21" i="9"/>
  <c r="Q19" i="9"/>
  <c r="Q112" i="9"/>
  <c r="Q98" i="9"/>
  <c r="S98" i="9" s="1"/>
  <c r="Q85" i="9"/>
  <c r="Q71" i="9"/>
  <c r="Q56" i="9"/>
  <c r="Q20" i="9"/>
  <c r="Q94" i="9"/>
  <c r="Q75" i="9"/>
  <c r="Q47" i="5"/>
  <c r="Q30" i="9"/>
  <c r="S30" i="9" s="1"/>
  <c r="Q67" i="9"/>
  <c r="Q125" i="9"/>
  <c r="Q143" i="9"/>
  <c r="Q89" i="9"/>
  <c r="Q15" i="9"/>
  <c r="Q59" i="9"/>
  <c r="Q126" i="9"/>
  <c r="Q42" i="9"/>
  <c r="S42" i="9" s="1"/>
  <c r="Q78" i="9"/>
  <c r="Q65" i="9"/>
  <c r="Q103" i="9"/>
  <c r="Q41" i="9"/>
  <c r="Q146" i="9"/>
  <c r="Q37" i="9"/>
  <c r="Q61" i="9"/>
  <c r="Q49" i="9"/>
  <c r="Q18" i="5"/>
  <c r="S77" i="9"/>
  <c r="Q70" i="9"/>
  <c r="Q73" i="9"/>
  <c r="Q96" i="9"/>
  <c r="Q88" i="9"/>
  <c r="Q109" i="9"/>
  <c r="Q166" i="9"/>
  <c r="S166" i="9" s="1"/>
  <c r="Q150" i="9"/>
  <c r="Q127" i="9"/>
  <c r="Q101" i="9"/>
  <c r="Q52" i="9"/>
  <c r="Q40" i="9"/>
  <c r="Q136" i="9"/>
  <c r="Q133" i="9"/>
  <c r="Q111" i="9"/>
  <c r="S111" i="9" s="1"/>
  <c r="Q55" i="9"/>
  <c r="Q159" i="9"/>
  <c r="Q50" i="5"/>
  <c r="Q70" i="5"/>
  <c r="Q102" i="5"/>
  <c r="Q6" i="5" s="1"/>
  <c r="Q54" i="5"/>
  <c r="Q58" i="5"/>
  <c r="Q16" i="5"/>
  <c r="Q42" i="5"/>
  <c r="Q73" i="5"/>
  <c r="Q80" i="5"/>
  <c r="Q93" i="5"/>
  <c r="Q19" i="5"/>
  <c r="Q64" i="5"/>
  <c r="Q88" i="5"/>
  <c r="Q81" i="5"/>
  <c r="Q76" i="5"/>
  <c r="Q45" i="5"/>
  <c r="Q37" i="5"/>
  <c r="Q33" i="5"/>
  <c r="Q77" i="5"/>
  <c r="Q101" i="5"/>
  <c r="Q55" i="5"/>
  <c r="Q71" i="5"/>
  <c r="Q36" i="5"/>
  <c r="Q87" i="5"/>
  <c r="Q13" i="5"/>
  <c r="Q121" i="17" s="1"/>
  <c r="Q74" i="5"/>
  <c r="Q27" i="5"/>
  <c r="Q78" i="5"/>
  <c r="Q79" i="5"/>
  <c r="Q40" i="5"/>
  <c r="Q38" i="5"/>
  <c r="Q17" i="5"/>
  <c r="Q72" i="5"/>
  <c r="Q68" i="5"/>
  <c r="Q29" i="5"/>
  <c r="Q122" i="17" s="1"/>
  <c r="Q25" i="5"/>
  <c r="Q99" i="5"/>
  <c r="Q48" i="5"/>
  <c r="Q49" i="5"/>
  <c r="Q20" i="5"/>
  <c r="Q23" i="5"/>
  <c r="Q94" i="5"/>
  <c r="Q43" i="5"/>
  <c r="Q46" i="5"/>
  <c r="Q100" i="5"/>
  <c r="Q140" i="16" s="1"/>
  <c r="Q51" i="5"/>
  <c r="Q34" i="5"/>
  <c r="Q52" i="5"/>
  <c r="Q75" i="5"/>
  <c r="Q95" i="5"/>
  <c r="Q53" i="5"/>
  <c r="Q21" i="5"/>
  <c r="Q83" i="5"/>
  <c r="Q93" i="15" s="1"/>
  <c r="Q44" i="5"/>
  <c r="Q61" i="5"/>
  <c r="Q59" i="5"/>
  <c r="Q96" i="5"/>
  <c r="Q39" i="5"/>
  <c r="Q22" i="5"/>
  <c r="Q66" i="5"/>
  <c r="Q41" i="5"/>
  <c r="Q62" i="5"/>
  <c r="Q85" i="5"/>
  <c r="Q32" i="5"/>
  <c r="Q123" i="17" s="1"/>
  <c r="Q67" i="5"/>
  <c r="Q60" i="5"/>
  <c r="Q26" i="5"/>
  <c r="Q63" i="5"/>
  <c r="Q57" i="5"/>
  <c r="Q30" i="5"/>
  <c r="Q15" i="5"/>
  <c r="Q98" i="5"/>
  <c r="Q14" i="5"/>
  <c r="Q84" i="5"/>
  <c r="S22" i="10"/>
  <c r="R47" i="10"/>
  <c r="S61" i="10"/>
  <c r="R87" i="3"/>
  <c r="R103" i="15" s="1"/>
  <c r="D41" i="11"/>
  <c r="L41" i="11" s="1"/>
  <c r="M22" i="16"/>
  <c r="E9" i="16"/>
  <c r="S131" i="9"/>
  <c r="R34" i="6"/>
  <c r="S123" i="9"/>
  <c r="P78" i="6"/>
  <c r="R28" i="16"/>
  <c r="R24" i="17"/>
  <c r="S148" i="9"/>
  <c r="P40" i="6"/>
  <c r="S95" i="10"/>
  <c r="S94" i="10"/>
  <c r="S33" i="9"/>
  <c r="P24" i="17"/>
  <c r="P28" i="16"/>
  <c r="Q52" i="3"/>
  <c r="Q98" i="3"/>
  <c r="S98" i="3" s="1"/>
  <c r="S82" i="5"/>
  <c r="R100" i="17"/>
  <c r="R104" i="15"/>
  <c r="R105" i="17"/>
  <c r="R31" i="16"/>
  <c r="R92" i="15"/>
  <c r="R99" i="17"/>
  <c r="R78" i="17"/>
  <c r="R30" i="16"/>
  <c r="P85" i="3"/>
  <c r="P94" i="3"/>
  <c r="P93" i="3"/>
  <c r="R124" i="16"/>
  <c r="R32" i="17"/>
  <c r="Q67" i="10"/>
  <c r="Q76" i="16" s="1"/>
  <c r="Q84" i="16" s="1"/>
  <c r="S28" i="10"/>
  <c r="S29" i="10"/>
  <c r="P124" i="16"/>
  <c r="P32" i="17"/>
  <c r="Q24" i="3"/>
  <c r="S164" i="9"/>
  <c r="S72" i="9"/>
  <c r="Q50" i="3"/>
  <c r="Q124" i="16"/>
  <c r="Q32" i="17"/>
  <c r="Q85" i="3"/>
  <c r="Q94" i="3"/>
  <c r="Q93" i="3"/>
  <c r="Q24" i="17"/>
  <c r="Q28" i="16"/>
  <c r="S13" i="10"/>
  <c r="Q15" i="16"/>
  <c r="Q19" i="16"/>
  <c r="Q17" i="16"/>
  <c r="Q14" i="16"/>
  <c r="Q18" i="16"/>
  <c r="Q13" i="16"/>
  <c r="Q16" i="16"/>
  <c r="R127" i="17"/>
  <c r="R105" i="15"/>
  <c r="Q105" i="15"/>
  <c r="Q127" i="17"/>
  <c r="Q87" i="7"/>
  <c r="Q88" i="7"/>
  <c r="Q86" i="7"/>
  <c r="P88" i="7"/>
  <c r="P87" i="7"/>
  <c r="P86" i="7"/>
  <c r="R87" i="7"/>
  <c r="R88" i="7"/>
  <c r="R86" i="7"/>
  <c r="Q84" i="7"/>
  <c r="Q85" i="7"/>
  <c r="Q83" i="7"/>
  <c r="Q94" i="7"/>
  <c r="Q93" i="7"/>
  <c r="P84" i="7"/>
  <c r="P94" i="7"/>
  <c r="P85" i="7"/>
  <c r="P83" i="7"/>
  <c r="P93" i="7"/>
  <c r="R94" i="7"/>
  <c r="R85" i="7"/>
  <c r="R84" i="7"/>
  <c r="R83" i="7"/>
  <c r="R93" i="7"/>
  <c r="R25" i="6"/>
  <c r="R16" i="6"/>
  <c r="R33" i="6"/>
  <c r="P53" i="6"/>
  <c r="P30" i="6"/>
  <c r="R46" i="6"/>
  <c r="R17" i="6"/>
  <c r="P73" i="6"/>
  <c r="R54" i="6"/>
  <c r="R76" i="6"/>
  <c r="P34" i="6"/>
  <c r="R42" i="6"/>
  <c r="P96" i="6"/>
  <c r="P65" i="6"/>
  <c r="P52" i="6"/>
  <c r="P27" i="6"/>
  <c r="P72" i="6"/>
  <c r="P101" i="6"/>
  <c r="P167" i="17" s="1"/>
  <c r="R48" i="6"/>
  <c r="R65" i="6"/>
  <c r="R70" i="6"/>
  <c r="R55" i="6"/>
  <c r="P41" i="6"/>
  <c r="P80" i="6"/>
  <c r="R102" i="6"/>
  <c r="R6" i="6" s="1"/>
  <c r="R7" i="6" s="1"/>
  <c r="R87" i="6"/>
  <c r="R84" i="6"/>
  <c r="R88" i="6"/>
  <c r="R85" i="6"/>
  <c r="R82" i="6"/>
  <c r="R83" i="6"/>
  <c r="R86" i="6"/>
  <c r="P75" i="6"/>
  <c r="P88" i="6"/>
  <c r="P85" i="6"/>
  <c r="P84" i="6"/>
  <c r="P82" i="6"/>
  <c r="P87" i="6"/>
  <c r="P83" i="6"/>
  <c r="P86" i="6"/>
  <c r="R29" i="6"/>
  <c r="R149" i="17" s="1"/>
  <c r="P74" i="6"/>
  <c r="R13" i="6"/>
  <c r="R148" i="17" s="1"/>
  <c r="R23" i="6"/>
  <c r="R18" i="6"/>
  <c r="R100" i="6"/>
  <c r="R141" i="16" s="1"/>
  <c r="R45" i="6"/>
  <c r="P66" i="6"/>
  <c r="P42" i="6"/>
  <c r="P35" i="6"/>
  <c r="Q88" i="6"/>
  <c r="Q87" i="6"/>
  <c r="Q84" i="6"/>
  <c r="Q82" i="6"/>
  <c r="Q85" i="6"/>
  <c r="Q83" i="6"/>
  <c r="Q86" i="6"/>
  <c r="P67" i="6"/>
  <c r="P37" i="6"/>
  <c r="P71" i="6"/>
  <c r="P20" i="6"/>
  <c r="P26" i="6"/>
  <c r="P44" i="6"/>
  <c r="R59" i="6"/>
  <c r="R95" i="6"/>
  <c r="R31" i="6"/>
  <c r="R66" i="6"/>
  <c r="R19" i="6"/>
  <c r="R37" i="6"/>
  <c r="R20" i="6"/>
  <c r="R99" i="6"/>
  <c r="R51" i="6"/>
  <c r="R38" i="6"/>
  <c r="R69" i="6"/>
  <c r="R97" i="6"/>
  <c r="R64" i="6"/>
  <c r="R43" i="6"/>
  <c r="R74" i="6"/>
  <c r="R77" i="6"/>
  <c r="R21" i="6"/>
  <c r="R44" i="6"/>
  <c r="R57" i="6"/>
  <c r="P97" i="6"/>
  <c r="P39" i="6"/>
  <c r="P23" i="6"/>
  <c r="P36" i="6"/>
  <c r="P16" i="6"/>
  <c r="P19" i="6"/>
  <c r="P57" i="6"/>
  <c r="P14" i="6"/>
  <c r="P29" i="6"/>
  <c r="P149" i="17" s="1"/>
  <c r="P50" i="6"/>
  <c r="P61" i="6"/>
  <c r="P25" i="6"/>
  <c r="P54" i="6"/>
  <c r="P24" i="6"/>
  <c r="P60" i="6"/>
  <c r="P94" i="6"/>
  <c r="R32" i="6"/>
  <c r="R150" i="17" s="1"/>
  <c r="R78" i="6"/>
  <c r="R71" i="6"/>
  <c r="R27" i="6"/>
  <c r="R75" i="6"/>
  <c r="R40" i="6"/>
  <c r="R24" i="6"/>
  <c r="R50" i="6"/>
  <c r="R41" i="6"/>
  <c r="R22" i="6"/>
  <c r="R94" i="6"/>
  <c r="R35" i="6"/>
  <c r="R98" i="6"/>
  <c r="R30" i="6"/>
  <c r="R61" i="6"/>
  <c r="R47" i="6"/>
  <c r="R81" i="6"/>
  <c r="R93" i="6"/>
  <c r="R67" i="6"/>
  <c r="P22" i="6"/>
  <c r="P21" i="6"/>
  <c r="P69" i="6"/>
  <c r="P45" i="6"/>
  <c r="P95" i="6"/>
  <c r="P32" i="6"/>
  <c r="P150" i="17" s="1"/>
  <c r="P58" i="6"/>
  <c r="P17" i="6"/>
  <c r="P49" i="6"/>
  <c r="P28" i="6"/>
  <c r="P98" i="6"/>
  <c r="P51" i="6"/>
  <c r="P38" i="6"/>
  <c r="P64" i="6"/>
  <c r="P47" i="6"/>
  <c r="P79" i="6"/>
  <c r="P43" i="6"/>
  <c r="R72" i="6"/>
  <c r="R53" i="6"/>
  <c r="R60" i="6"/>
  <c r="R101" i="6"/>
  <c r="R28" i="6"/>
  <c r="R73" i="6"/>
  <c r="R63" i="6"/>
  <c r="R80" i="6"/>
  <c r="R62" i="6"/>
  <c r="R49" i="6"/>
  <c r="R79" i="6"/>
  <c r="R14" i="6"/>
  <c r="R58" i="6"/>
  <c r="R52" i="6"/>
  <c r="R36" i="6"/>
  <c r="R26" i="6"/>
  <c r="R39" i="6"/>
  <c r="R56" i="6"/>
  <c r="P33" i="6"/>
  <c r="P63" i="6"/>
  <c r="P59" i="6"/>
  <c r="P56" i="6"/>
  <c r="P77" i="6"/>
  <c r="P62" i="6"/>
  <c r="P55" i="6"/>
  <c r="P81" i="6"/>
  <c r="P18" i="6"/>
  <c r="P93" i="6"/>
  <c r="P48" i="6"/>
  <c r="P46" i="6"/>
  <c r="P70" i="6"/>
  <c r="P31" i="6"/>
  <c r="R93" i="15"/>
  <c r="R126" i="17"/>
  <c r="Q126" i="17"/>
  <c r="P88" i="5"/>
  <c r="P87" i="5"/>
  <c r="S87" i="5" s="1"/>
  <c r="P86" i="5"/>
  <c r="P85" i="5"/>
  <c r="S85" i="5" s="1"/>
  <c r="P84" i="5"/>
  <c r="S84" i="5" s="1"/>
  <c r="P83" i="5"/>
  <c r="R32" i="16"/>
  <c r="R132" i="17"/>
  <c r="R140" i="17"/>
  <c r="R139" i="17" s="1"/>
  <c r="R128" i="16"/>
  <c r="R116" i="16" s="1"/>
  <c r="Q140" i="17"/>
  <c r="Q128" i="16"/>
  <c r="R141" i="15"/>
  <c r="R140" i="16"/>
  <c r="R135" i="17"/>
  <c r="R68" i="16"/>
  <c r="Q135" i="17"/>
  <c r="Q68" i="16"/>
  <c r="Q132" i="17"/>
  <c r="Q32" i="16"/>
  <c r="P94" i="4"/>
  <c r="P93" i="4"/>
  <c r="Q94" i="4"/>
  <c r="Q93" i="4"/>
  <c r="Q87" i="4"/>
  <c r="Q84" i="4"/>
  <c r="Q85" i="4"/>
  <c r="Q88" i="4"/>
  <c r="Q83" i="4"/>
  <c r="Q86" i="4"/>
  <c r="P87" i="4"/>
  <c r="P84" i="4"/>
  <c r="P85" i="4"/>
  <c r="P86" i="4"/>
  <c r="P88" i="4"/>
  <c r="P83" i="4"/>
  <c r="R7" i="4"/>
  <c r="P88" i="3"/>
  <c r="P87" i="3"/>
  <c r="Q44" i="3"/>
  <c r="Q88" i="3"/>
  <c r="Q87" i="3"/>
  <c r="Q81" i="3"/>
  <c r="Q69" i="3"/>
  <c r="Q23" i="3"/>
  <c r="Q20" i="3"/>
  <c r="Q55" i="3"/>
  <c r="Q77" i="3"/>
  <c r="R66" i="16"/>
  <c r="R81" i="17"/>
  <c r="Q37" i="3"/>
  <c r="Q59" i="3"/>
  <c r="Q62" i="3"/>
  <c r="Q19" i="3"/>
  <c r="Q60" i="3"/>
  <c r="Q72" i="3"/>
  <c r="R126" i="16"/>
  <c r="R114" i="16" s="1"/>
  <c r="R86" i="17"/>
  <c r="R85" i="17" s="1"/>
  <c r="Q94" i="2"/>
  <c r="Q93" i="2"/>
  <c r="R48" i="2"/>
  <c r="R94" i="2"/>
  <c r="R93" i="2"/>
  <c r="P94" i="2"/>
  <c r="P93" i="2"/>
  <c r="R32" i="2"/>
  <c r="R42" i="17" s="1"/>
  <c r="R29" i="2"/>
  <c r="R41" i="17" s="1"/>
  <c r="R35" i="2"/>
  <c r="R36" i="2"/>
  <c r="R19" i="2"/>
  <c r="R27" i="2"/>
  <c r="R52" i="2"/>
  <c r="R72" i="2"/>
  <c r="R56" i="2"/>
  <c r="R62" i="2"/>
  <c r="R18" i="2"/>
  <c r="R76" i="2"/>
  <c r="R37" i="2"/>
  <c r="R70" i="2"/>
  <c r="R25" i="2"/>
  <c r="R39" i="2"/>
  <c r="R54" i="2"/>
  <c r="R63" i="2"/>
  <c r="R74" i="2"/>
  <c r="R15" i="2"/>
  <c r="R102" i="2"/>
  <c r="R6" i="2" s="1"/>
  <c r="R26" i="2"/>
  <c r="R20" i="2"/>
  <c r="R66" i="2"/>
  <c r="R97" i="2"/>
  <c r="R67" i="2"/>
  <c r="R38" i="2"/>
  <c r="R99" i="2"/>
  <c r="Q13" i="2"/>
  <c r="Q40" i="17" s="1"/>
  <c r="Q87" i="2"/>
  <c r="Q84" i="2"/>
  <c r="Q86" i="2"/>
  <c r="Q83" i="2"/>
  <c r="R13" i="2"/>
  <c r="R40" i="17" s="1"/>
  <c r="R87" i="2"/>
  <c r="R84" i="2"/>
  <c r="R83" i="2"/>
  <c r="R86" i="2"/>
  <c r="P13" i="2"/>
  <c r="P84" i="2"/>
  <c r="P87" i="2"/>
  <c r="P86" i="2"/>
  <c r="P102" i="15" s="1"/>
  <c r="P83" i="2"/>
  <c r="R73" i="2"/>
  <c r="R96" i="2"/>
  <c r="R75" i="2"/>
  <c r="R80" i="2"/>
  <c r="R49" i="2"/>
  <c r="R21" i="2"/>
  <c r="R34" i="2"/>
  <c r="R100" i="2"/>
  <c r="R137" i="16" s="1"/>
  <c r="R17" i="2"/>
  <c r="R40" i="2"/>
  <c r="R60" i="2"/>
  <c r="R69" i="2"/>
  <c r="R33" i="2"/>
  <c r="R79" i="2"/>
  <c r="R47" i="2"/>
  <c r="R78" i="2"/>
  <c r="R65" i="2"/>
  <c r="R43" i="2"/>
  <c r="R89" i="2"/>
  <c r="R5" i="2" s="1"/>
  <c r="R179" i="9" s="1"/>
  <c r="R71" i="2"/>
  <c r="R101" i="2"/>
  <c r="R59" i="17" s="1"/>
  <c r="R55" i="2"/>
  <c r="R16" i="2"/>
  <c r="R58" i="2"/>
  <c r="R68" i="2"/>
  <c r="R77" i="2"/>
  <c r="R44" i="2"/>
  <c r="R59" i="2"/>
  <c r="R95" i="2"/>
  <c r="R65" i="16" s="1"/>
  <c r="R64" i="2"/>
  <c r="R51" i="2"/>
  <c r="R46" i="2"/>
  <c r="R22" i="2"/>
  <c r="R61" i="2"/>
  <c r="R81" i="2"/>
  <c r="R50" i="2"/>
  <c r="S109" i="9"/>
  <c r="S63" i="9"/>
  <c r="S122" i="9"/>
  <c r="T122" i="9" s="1"/>
  <c r="S39" i="9"/>
  <c r="S59" i="9"/>
  <c r="S125" i="9"/>
  <c r="T125" i="9" s="1"/>
  <c r="S156" i="9"/>
  <c r="S158" i="9"/>
  <c r="S99" i="9"/>
  <c r="S78" i="9"/>
  <c r="T78" i="9" s="1"/>
  <c r="S47" i="9"/>
  <c r="S56" i="9"/>
  <c r="S126" i="9"/>
  <c r="R67" i="16"/>
  <c r="R108" i="17"/>
  <c r="R103" i="17"/>
  <c r="R113" i="17"/>
  <c r="R112" i="17" s="1"/>
  <c r="R127" i="16"/>
  <c r="R115" i="16" s="1"/>
  <c r="E41" i="11"/>
  <c r="M41" i="11" s="1"/>
  <c r="R140" i="15"/>
  <c r="R139" i="16"/>
  <c r="T32" i="11"/>
  <c r="S15" i="10"/>
  <c r="S17" i="10"/>
  <c r="S79" i="10"/>
  <c r="S24" i="10"/>
  <c r="S64" i="10"/>
  <c r="S21" i="10"/>
  <c r="Q72" i="10"/>
  <c r="S74" i="10"/>
  <c r="S69" i="9"/>
  <c r="S18" i="9"/>
  <c r="S112" i="9"/>
  <c r="S84" i="9"/>
  <c r="S34" i="10"/>
  <c r="S62" i="10"/>
  <c r="S27" i="10"/>
  <c r="S23" i="10"/>
  <c r="S59" i="10"/>
  <c r="S44" i="10"/>
  <c r="Q96" i="3"/>
  <c r="Q84" i="3"/>
  <c r="Q72" i="17" s="1"/>
  <c r="Q66" i="3"/>
  <c r="Q42" i="3"/>
  <c r="Q48" i="3"/>
  <c r="Q18" i="3"/>
  <c r="Q36" i="3"/>
  <c r="Q49" i="3"/>
  <c r="Q64" i="3"/>
  <c r="Q39" i="3"/>
  <c r="Q41" i="3"/>
  <c r="Q27" i="3"/>
  <c r="Q76" i="3"/>
  <c r="Q61" i="3"/>
  <c r="Q28" i="3"/>
  <c r="Q47" i="3"/>
  <c r="Q57" i="3"/>
  <c r="S23" i="9"/>
  <c r="S37" i="9"/>
  <c r="S21" i="9"/>
  <c r="S142" i="9"/>
  <c r="S54" i="9"/>
  <c r="S36" i="9"/>
  <c r="Q100" i="3"/>
  <c r="S70" i="10"/>
  <c r="S104" i="9"/>
  <c r="S54" i="10"/>
  <c r="S32" i="10"/>
  <c r="Q34" i="3"/>
  <c r="Q25" i="3"/>
  <c r="Q54" i="3"/>
  <c r="Q97" i="3"/>
  <c r="Q71" i="3"/>
  <c r="Q45" i="3"/>
  <c r="Q56" i="3"/>
  <c r="Q80" i="3"/>
  <c r="Q73" i="3"/>
  <c r="Q51" i="3"/>
  <c r="Q17" i="3"/>
  <c r="Q78" i="3"/>
  <c r="Q16" i="3"/>
  <c r="Q68" i="3"/>
  <c r="Q82" i="3"/>
  <c r="Q53" i="3"/>
  <c r="Q58" i="3"/>
  <c r="S108" i="9"/>
  <c r="S62" i="9"/>
  <c r="S16" i="9"/>
  <c r="T16" i="9" s="1"/>
  <c r="S121" i="9"/>
  <c r="S92" i="9"/>
  <c r="S19" i="9"/>
  <c r="T19" i="9" s="1"/>
  <c r="S66" i="9"/>
  <c r="S155" i="9"/>
  <c r="S165" i="9"/>
  <c r="S140" i="9"/>
  <c r="Q31" i="3"/>
  <c r="S153" i="9"/>
  <c r="S33" i="10"/>
  <c r="S49" i="10"/>
  <c r="S37" i="10"/>
  <c r="S20" i="10"/>
  <c r="S92" i="10"/>
  <c r="Q25" i="10"/>
  <c r="Q50" i="10"/>
  <c r="S116" i="9"/>
  <c r="Q75" i="3"/>
  <c r="Q63" i="3"/>
  <c r="Q67" i="3"/>
  <c r="Q70" i="3"/>
  <c r="Q29" i="3"/>
  <c r="Q65" i="3"/>
  <c r="Q35" i="3"/>
  <c r="Q74" i="3"/>
  <c r="Q40" i="3"/>
  <c r="Q101" i="3"/>
  <c r="Q79" i="3"/>
  <c r="Q46" i="3"/>
  <c r="Q21" i="3"/>
  <c r="Q22" i="3"/>
  <c r="Q38" i="3"/>
  <c r="Q43" i="3"/>
  <c r="S79" i="9"/>
  <c r="S136" i="9"/>
  <c r="S27" i="9"/>
  <c r="T27" i="9" s="1"/>
  <c r="S157" i="9"/>
  <c r="S71" i="9"/>
  <c r="S154" i="9"/>
  <c r="S88" i="9"/>
  <c r="S85" i="10"/>
  <c r="S96" i="9"/>
  <c r="S97" i="9"/>
  <c r="S102" i="9"/>
  <c r="S95" i="9"/>
  <c r="S113" i="9"/>
  <c r="S55" i="9"/>
  <c r="S101" i="9"/>
  <c r="S89" i="10"/>
  <c r="S35" i="9"/>
  <c r="R50" i="10"/>
  <c r="S53" i="9"/>
  <c r="S26" i="9"/>
  <c r="S146" i="9"/>
  <c r="P30" i="3"/>
  <c r="P68" i="17" s="1"/>
  <c r="P33" i="3"/>
  <c r="P69" i="17" s="1"/>
  <c r="P95" i="3"/>
  <c r="S114" i="9"/>
  <c r="S93" i="10"/>
  <c r="S88" i="10"/>
  <c r="S66" i="10"/>
  <c r="Q42" i="10"/>
  <c r="Q39" i="10" s="1"/>
  <c r="S57" i="10"/>
  <c r="S74" i="9"/>
  <c r="S46" i="9"/>
  <c r="S152" i="9"/>
  <c r="S115" i="9"/>
  <c r="S67" i="9"/>
  <c r="T67" i="9" s="1"/>
  <c r="S127" i="9"/>
  <c r="S141" i="9"/>
  <c r="S150" i="9"/>
  <c r="S143" i="9"/>
  <c r="S46" i="10"/>
  <c r="S83" i="9"/>
  <c r="S17" i="9"/>
  <c r="S60" i="9"/>
  <c r="S58" i="9"/>
  <c r="S56" i="10"/>
  <c r="S82" i="10"/>
  <c r="S65" i="10"/>
  <c r="S58" i="10"/>
  <c r="S86" i="10"/>
  <c r="S22" i="9"/>
  <c r="S133" i="9"/>
  <c r="S52" i="9"/>
  <c r="S65" i="9"/>
  <c r="S132" i="9"/>
  <c r="S48" i="9"/>
  <c r="S40" i="9"/>
  <c r="S57" i="9"/>
  <c r="S76" i="9"/>
  <c r="S20" i="9"/>
  <c r="R187" i="9"/>
  <c r="R91" i="15"/>
  <c r="Q15" i="3"/>
  <c r="Q33" i="3"/>
  <c r="Q69" i="17" s="1"/>
  <c r="Q95" i="3"/>
  <c r="Q13" i="3"/>
  <c r="Q30" i="3"/>
  <c r="Q68" i="17" s="1"/>
  <c r="Q99" i="3"/>
  <c r="Q102" i="3"/>
  <c r="R139" i="15"/>
  <c r="T34" i="11"/>
  <c r="R189" i="9"/>
  <c r="P72" i="10"/>
  <c r="S73" i="10"/>
  <c r="Q46" i="6"/>
  <c r="Q76" i="6"/>
  <c r="S76" i="6" s="1"/>
  <c r="Q41" i="6"/>
  <c r="Q78" i="6"/>
  <c r="Q99" i="6"/>
  <c r="Q74" i="6"/>
  <c r="Q37" i="6"/>
  <c r="Q22" i="6"/>
  <c r="Q100" i="6"/>
  <c r="Q39" i="6"/>
  <c r="Q20" i="6"/>
  <c r="Q50" i="6"/>
  <c r="Q51" i="6"/>
  <c r="S51" i="6" s="1"/>
  <c r="Q31" i="6"/>
  <c r="Q49" i="6"/>
  <c r="Q62" i="6"/>
  <c r="Q72" i="6"/>
  <c r="Q27" i="6"/>
  <c r="Q66" i="6"/>
  <c r="S66" i="6" s="1"/>
  <c r="Q24" i="6"/>
  <c r="Q70" i="6"/>
  <c r="Q38" i="6"/>
  <c r="Q94" i="6"/>
  <c r="Q55" i="6"/>
  <c r="Q97" i="6"/>
  <c r="Q36" i="6"/>
  <c r="Q64" i="6"/>
  <c r="Q65" i="6"/>
  <c r="Q79" i="6"/>
  <c r="Q71" i="6"/>
  <c r="Q95" i="6"/>
  <c r="Q18" i="6"/>
  <c r="Q43" i="6"/>
  <c r="Q30" i="6"/>
  <c r="Q19" i="6"/>
  <c r="Q56" i="6"/>
  <c r="Q98" i="6"/>
  <c r="Q57" i="6"/>
  <c r="Q35" i="6"/>
  <c r="Q63" i="6"/>
  <c r="S63" i="6" s="1"/>
  <c r="Q25" i="6"/>
  <c r="Q23" i="6"/>
  <c r="Q28" i="6"/>
  <c r="Q58" i="6"/>
  <c r="Q101" i="6"/>
  <c r="Q17" i="6"/>
  <c r="Q96" i="6"/>
  <c r="Q42" i="6"/>
  <c r="Q44" i="6"/>
  <c r="Q45" i="6"/>
  <c r="Q54" i="6"/>
  <c r="Q80" i="6"/>
  <c r="Q93" i="6"/>
  <c r="Q34" i="6"/>
  <c r="Q40" i="6"/>
  <c r="Q69" i="6"/>
  <c r="Q73" i="6"/>
  <c r="Q77" i="6"/>
  <c r="Q59" i="6"/>
  <c r="Q21" i="6"/>
  <c r="Q75" i="6"/>
  <c r="Q16" i="6"/>
  <c r="S16" i="6" s="1"/>
  <c r="Q26" i="6"/>
  <c r="Q53" i="6"/>
  <c r="Q81" i="6"/>
  <c r="Q61" i="6"/>
  <c r="Q47" i="6"/>
  <c r="Q48" i="6"/>
  <c r="Q33" i="6"/>
  <c r="Q14" i="6"/>
  <c r="Q52" i="6"/>
  <c r="Q60" i="6"/>
  <c r="Q89" i="6"/>
  <c r="Q5" i="6" s="1"/>
  <c r="Q183" i="9" s="1"/>
  <c r="Q67" i="6"/>
  <c r="Q29" i="6"/>
  <c r="Q149" i="17" s="1"/>
  <c r="Q13" i="6"/>
  <c r="Q148" i="17" s="1"/>
  <c r="Q32" i="6"/>
  <c r="Q102" i="6"/>
  <c r="Q6" i="6" s="1"/>
  <c r="S18" i="10"/>
  <c r="S45" i="10"/>
  <c r="S38" i="10"/>
  <c r="P67" i="10"/>
  <c r="S68" i="10"/>
  <c r="S75" i="10"/>
  <c r="S35" i="10"/>
  <c r="S53" i="10"/>
  <c r="S83" i="10"/>
  <c r="S36" i="10"/>
  <c r="S16" i="10"/>
  <c r="S84" i="10"/>
  <c r="S63" i="10"/>
  <c r="S91" i="10"/>
  <c r="Q73" i="7"/>
  <c r="Q78" i="7"/>
  <c r="Q35" i="7"/>
  <c r="Q95" i="7"/>
  <c r="Q67" i="7"/>
  <c r="Q65" i="7"/>
  <c r="Q43" i="7"/>
  <c r="Q69" i="7"/>
  <c r="Q36" i="7"/>
  <c r="Q98" i="7"/>
  <c r="Q44" i="7"/>
  <c r="Q82" i="7"/>
  <c r="Q19" i="7"/>
  <c r="Q33" i="7"/>
  <c r="Q76" i="7"/>
  <c r="Q52" i="7"/>
  <c r="Q49" i="7"/>
  <c r="Q48" i="7"/>
  <c r="Q97" i="7"/>
  <c r="Q80" i="7"/>
  <c r="Q77" i="7"/>
  <c r="Q66" i="7"/>
  <c r="Q72" i="7"/>
  <c r="Q81" i="7"/>
  <c r="Q63" i="7"/>
  <c r="Q100" i="7"/>
  <c r="Q62" i="7"/>
  <c r="Q17" i="7"/>
  <c r="Q75" i="7"/>
  <c r="Q60" i="7"/>
  <c r="Q28" i="7"/>
  <c r="Q64" i="7"/>
  <c r="Q22" i="7"/>
  <c r="Q46" i="7"/>
  <c r="Q34" i="7"/>
  <c r="Q58" i="7"/>
  <c r="Q53" i="7"/>
  <c r="Q79" i="7"/>
  <c r="Q96" i="7"/>
  <c r="Q56" i="7"/>
  <c r="Q27" i="7"/>
  <c r="Q23" i="7"/>
  <c r="Q70" i="7"/>
  <c r="Q24" i="7"/>
  <c r="Q20" i="7"/>
  <c r="Q68" i="7"/>
  <c r="Q37" i="7"/>
  <c r="Q40" i="7"/>
  <c r="Q21" i="7"/>
  <c r="Q15" i="7"/>
  <c r="Q47" i="7"/>
  <c r="Q50" i="7"/>
  <c r="Q42" i="7"/>
  <c r="Q16" i="7"/>
  <c r="Q102" i="7"/>
  <c r="Q6" i="7" s="1"/>
  <c r="Q18" i="7"/>
  <c r="Q55" i="7"/>
  <c r="Q51" i="7"/>
  <c r="Q59" i="7"/>
  <c r="Q26" i="7"/>
  <c r="Q99" i="7"/>
  <c r="Q57" i="7"/>
  <c r="Q41" i="7"/>
  <c r="Q54" i="7"/>
  <c r="Q38" i="7"/>
  <c r="Q71" i="7"/>
  <c r="Q39" i="7"/>
  <c r="Q25" i="7"/>
  <c r="Q30" i="7"/>
  <c r="Q13" i="7"/>
  <c r="Q175" i="17" s="1"/>
  <c r="Q74" i="7"/>
  <c r="Q14" i="7"/>
  <c r="Q32" i="7"/>
  <c r="Q177" i="17" s="1"/>
  <c r="Q61" i="7"/>
  <c r="Q29" i="7"/>
  <c r="Q176" i="17" s="1"/>
  <c r="Q101" i="7"/>
  <c r="Q45" i="7"/>
  <c r="Q89" i="7"/>
  <c r="Q5" i="7" s="1"/>
  <c r="Q184" i="9" s="1"/>
  <c r="S43" i="9"/>
  <c r="R33" i="15"/>
  <c r="R216" i="9"/>
  <c r="S159" i="9"/>
  <c r="S68" i="9"/>
  <c r="S91" i="9"/>
  <c r="S45" i="9"/>
  <c r="S87" i="9"/>
  <c r="T126" i="9"/>
  <c r="S100" i="9"/>
  <c r="T132" i="9"/>
  <c r="S73" i="9"/>
  <c r="S94" i="9"/>
  <c r="T30" i="11"/>
  <c r="S160" i="9"/>
  <c r="S60" i="10"/>
  <c r="R80" i="10"/>
  <c r="R72" i="10"/>
  <c r="R30" i="10"/>
  <c r="S70" i="9"/>
  <c r="S110" i="9"/>
  <c r="S86" i="9"/>
  <c r="S69" i="10"/>
  <c r="S78" i="10"/>
  <c r="S124" i="9"/>
  <c r="R67" i="10"/>
  <c r="T29" i="11"/>
  <c r="S64" i="9"/>
  <c r="S15" i="9"/>
  <c r="P81" i="2"/>
  <c r="P45" i="2"/>
  <c r="P52" i="2"/>
  <c r="P50" i="2"/>
  <c r="P69" i="2"/>
  <c r="P56" i="2"/>
  <c r="P22" i="2"/>
  <c r="P44" i="2"/>
  <c r="P17" i="2"/>
  <c r="P61" i="2"/>
  <c r="P59" i="2"/>
  <c r="P30" i="2"/>
  <c r="P71" i="2"/>
  <c r="P99" i="2"/>
  <c r="P55" i="2"/>
  <c r="P18" i="2"/>
  <c r="P65" i="2"/>
  <c r="P19" i="2"/>
  <c r="P40" i="2"/>
  <c r="P62" i="2"/>
  <c r="P33" i="2"/>
  <c r="P95" i="2"/>
  <c r="P47" i="2"/>
  <c r="P37" i="2"/>
  <c r="P77" i="2"/>
  <c r="P97" i="2"/>
  <c r="P38" i="2"/>
  <c r="P51" i="2"/>
  <c r="P74" i="2"/>
  <c r="P21" i="2"/>
  <c r="P49" i="2"/>
  <c r="P16" i="2"/>
  <c r="P60" i="2"/>
  <c r="P27" i="2"/>
  <c r="P39" i="2"/>
  <c r="P100" i="2"/>
  <c r="P76" i="2"/>
  <c r="P43" i="2"/>
  <c r="P64" i="2"/>
  <c r="P34" i="2"/>
  <c r="P42" i="2"/>
  <c r="P48" i="2"/>
  <c r="P79" i="2"/>
  <c r="P25" i="2"/>
  <c r="P57" i="2"/>
  <c r="P41" i="2"/>
  <c r="P80" i="2"/>
  <c r="P66" i="2"/>
  <c r="P96" i="2"/>
  <c r="P67" i="2"/>
  <c r="P68" i="2"/>
  <c r="P89" i="2"/>
  <c r="P75" i="2"/>
  <c r="P26" i="2"/>
  <c r="P29" i="2"/>
  <c r="P41" i="17" s="1"/>
  <c r="P54" i="2"/>
  <c r="P70" i="2"/>
  <c r="P58" i="2"/>
  <c r="P101" i="2"/>
  <c r="P20" i="2"/>
  <c r="P23" i="2"/>
  <c r="P98" i="2"/>
  <c r="P72" i="2"/>
  <c r="P53" i="2"/>
  <c r="P36" i="2"/>
  <c r="P102" i="2"/>
  <c r="P63" i="2"/>
  <c r="P15" i="2"/>
  <c r="P73" i="2"/>
  <c r="P32" i="2"/>
  <c r="P42" i="17" s="1"/>
  <c r="P78" i="2"/>
  <c r="P46" i="2"/>
  <c r="P35" i="2"/>
  <c r="S117" i="9"/>
  <c r="S50" i="9"/>
  <c r="R6" i="3"/>
  <c r="Q232" i="9"/>
  <c r="Q57" i="15"/>
  <c r="T114" i="9"/>
  <c r="Q80" i="10"/>
  <c r="P25" i="10"/>
  <c r="S26" i="10"/>
  <c r="T26" i="10" s="1"/>
  <c r="S139" i="9"/>
  <c r="S71" i="10"/>
  <c r="P80" i="10"/>
  <c r="S81" i="10"/>
  <c r="Q38" i="4"/>
  <c r="Q81" i="4"/>
  <c r="Q72" i="4"/>
  <c r="Q45" i="4"/>
  <c r="Q54" i="4"/>
  <c r="Q80" i="4"/>
  <c r="Q48" i="4"/>
  <c r="Q19" i="4"/>
  <c r="Q69" i="4"/>
  <c r="Q41" i="4"/>
  <c r="Q101" i="4"/>
  <c r="Q95" i="4"/>
  <c r="Q20" i="4"/>
  <c r="Q47" i="4"/>
  <c r="Q43" i="4"/>
  <c r="Q35" i="4"/>
  <c r="Q52" i="4"/>
  <c r="Q100" i="4"/>
  <c r="Q33" i="4"/>
  <c r="Q53" i="4"/>
  <c r="Q63" i="4"/>
  <c r="Q59" i="4"/>
  <c r="Q27" i="4"/>
  <c r="Q71" i="4"/>
  <c r="Q74" i="4"/>
  <c r="Q18" i="4"/>
  <c r="Q64" i="4"/>
  <c r="Q46" i="4"/>
  <c r="Q77" i="4"/>
  <c r="Q55" i="4"/>
  <c r="Q73" i="4"/>
  <c r="Q62" i="4"/>
  <c r="Q25" i="4"/>
  <c r="Q96" i="4"/>
  <c r="Q70" i="4"/>
  <c r="Q57" i="4"/>
  <c r="Q78" i="4"/>
  <c r="Q97" i="4"/>
  <c r="Q79" i="4"/>
  <c r="Q66" i="4"/>
  <c r="Q50" i="4"/>
  <c r="Q56" i="4"/>
  <c r="Q37" i="4"/>
  <c r="Q17" i="4"/>
  <c r="Q49" i="4"/>
  <c r="Q40" i="4"/>
  <c r="Q28" i="4"/>
  <c r="Q42" i="4"/>
  <c r="Q22" i="4"/>
  <c r="Q34" i="4"/>
  <c r="Q51" i="4"/>
  <c r="Q16" i="4"/>
  <c r="Q36" i="4"/>
  <c r="Q24" i="4"/>
  <c r="Q65" i="4"/>
  <c r="Q58" i="4"/>
  <c r="Q23" i="4"/>
  <c r="Q75" i="4"/>
  <c r="Q76" i="4"/>
  <c r="Q14" i="4"/>
  <c r="Q61" i="4"/>
  <c r="Q98" i="4"/>
  <c r="Q13" i="4"/>
  <c r="Q94" i="17" s="1"/>
  <c r="Q32" i="4"/>
  <c r="Q96" i="17" s="1"/>
  <c r="Q21" i="4"/>
  <c r="Q26" i="4"/>
  <c r="Q30" i="4"/>
  <c r="Q67" i="4"/>
  <c r="Q68" i="4"/>
  <c r="Q44" i="4"/>
  <c r="Q15" i="4"/>
  <c r="Q39" i="4"/>
  <c r="Q29" i="4"/>
  <c r="Q95" i="17" s="1"/>
  <c r="Q99" i="4"/>
  <c r="Q60" i="4"/>
  <c r="Q102" i="4"/>
  <c r="Q6" i="4" s="1"/>
  <c r="Q89" i="4"/>
  <c r="Q5" i="4" s="1"/>
  <c r="Q181" i="9" s="1"/>
  <c r="S107" i="9"/>
  <c r="Q70" i="2"/>
  <c r="Q76" i="2"/>
  <c r="Q58" i="2"/>
  <c r="Q19" i="2"/>
  <c r="Q44" i="2"/>
  <c r="Q33" i="2"/>
  <c r="Q97" i="2"/>
  <c r="Q73" i="2"/>
  <c r="Q74" i="2"/>
  <c r="Q101" i="2"/>
  <c r="Q46" i="2"/>
  <c r="Q95" i="2"/>
  <c r="Q40" i="2"/>
  <c r="Q99" i="2"/>
  <c r="Q18" i="2"/>
  <c r="Q81" i="2"/>
  <c r="Q100" i="2"/>
  <c r="Q52" i="2"/>
  <c r="Q67" i="2"/>
  <c r="Q62" i="2"/>
  <c r="Q50" i="2"/>
  <c r="Q56" i="2"/>
  <c r="Q71" i="2"/>
  <c r="Q22" i="2"/>
  <c r="Q49" i="2"/>
  <c r="Q17" i="2"/>
  <c r="Q39" i="2"/>
  <c r="Q60" i="2"/>
  <c r="Q37" i="2"/>
  <c r="Q25" i="2"/>
  <c r="Q26" i="2"/>
  <c r="Q54" i="2"/>
  <c r="Q51" i="2"/>
  <c r="Q27" i="2"/>
  <c r="Q36" i="2"/>
  <c r="Q79" i="2"/>
  <c r="Q55" i="2"/>
  <c r="Q16" i="2"/>
  <c r="Q72" i="2"/>
  <c r="Q42" i="2"/>
  <c r="Q38" i="2"/>
  <c r="Q61" i="2"/>
  <c r="Q96" i="2"/>
  <c r="Q20" i="2"/>
  <c r="Q66" i="2"/>
  <c r="Q57" i="2"/>
  <c r="Q41" i="2"/>
  <c r="Q69" i="2"/>
  <c r="Q53" i="2"/>
  <c r="Q48" i="2"/>
  <c r="Q43" i="2"/>
  <c r="Q77" i="2"/>
  <c r="Q59" i="2"/>
  <c r="Q98" i="2"/>
  <c r="Q68" i="2"/>
  <c r="Q78" i="2"/>
  <c r="Q65" i="2"/>
  <c r="Q23" i="2"/>
  <c r="Q21" i="2"/>
  <c r="Q45" i="2"/>
  <c r="Q102" i="2"/>
  <c r="Q6" i="2" s="1"/>
  <c r="Q80" i="2"/>
  <c r="Q75" i="2"/>
  <c r="Q64" i="2"/>
  <c r="Q34" i="2"/>
  <c r="Q30" i="2"/>
  <c r="Q63" i="2"/>
  <c r="Q35" i="2"/>
  <c r="Q47" i="2"/>
  <c r="Q15" i="2"/>
  <c r="Q29" i="2"/>
  <c r="Q41" i="17" s="1"/>
  <c r="Q32" i="2"/>
  <c r="Q42" i="17" s="1"/>
  <c r="Q89" i="2"/>
  <c r="Q5" i="2" s="1"/>
  <c r="Q179" i="9" s="1"/>
  <c r="R44" i="15"/>
  <c r="R223" i="9"/>
  <c r="R55" i="15"/>
  <c r="R230" i="9"/>
  <c r="Q189" i="9"/>
  <c r="S90" i="10"/>
  <c r="Q16" i="15"/>
  <c r="S16" i="15" s="1"/>
  <c r="Q15" i="15"/>
  <c r="S15" i="15" s="1"/>
  <c r="Q18" i="15"/>
  <c r="S18" i="15" s="1"/>
  <c r="Q17" i="15"/>
  <c r="Q20" i="15"/>
  <c r="S20" i="15" s="1"/>
  <c r="Q19" i="15"/>
  <c r="S19" i="15" s="1"/>
  <c r="Q21" i="15"/>
  <c r="Q14" i="15"/>
  <c r="S14" i="15" s="1"/>
  <c r="Q13" i="15"/>
  <c r="R224" i="9"/>
  <c r="R45" i="15"/>
  <c r="S103" i="9"/>
  <c r="S90" i="9"/>
  <c r="S49" i="9"/>
  <c r="S162" i="9"/>
  <c r="S138" i="9"/>
  <c r="S61" i="9"/>
  <c r="S87" i="10"/>
  <c r="S19" i="10"/>
  <c r="R25" i="10"/>
  <c r="S151" i="9"/>
  <c r="S89" i="9"/>
  <c r="S41" i="9"/>
  <c r="S130" i="9"/>
  <c r="P58" i="3"/>
  <c r="P45" i="3"/>
  <c r="P46" i="3"/>
  <c r="P68" i="3"/>
  <c r="P60" i="3"/>
  <c r="P29" i="3"/>
  <c r="S29" i="3" s="1"/>
  <c r="P56" i="3"/>
  <c r="S56" i="3" s="1"/>
  <c r="P57" i="3"/>
  <c r="P76" i="3"/>
  <c r="P55" i="3"/>
  <c r="P36" i="3"/>
  <c r="P64" i="3"/>
  <c r="P80" i="3"/>
  <c r="P21" i="3"/>
  <c r="S21" i="3" s="1"/>
  <c r="P53" i="3"/>
  <c r="P40" i="3"/>
  <c r="S40" i="3" s="1"/>
  <c r="P38" i="3"/>
  <c r="P37" i="3"/>
  <c r="S37" i="3" s="1"/>
  <c r="P63" i="3"/>
  <c r="P50" i="3"/>
  <c r="P59" i="3"/>
  <c r="P62" i="3"/>
  <c r="P26" i="3"/>
  <c r="S26" i="3" s="1"/>
  <c r="P52" i="3"/>
  <c r="S52" i="3" s="1"/>
  <c r="P51" i="3"/>
  <c r="P20" i="3"/>
  <c r="P84" i="3"/>
  <c r="P23" i="3"/>
  <c r="P28" i="3"/>
  <c r="P65" i="3"/>
  <c r="P18" i="3"/>
  <c r="P71" i="3"/>
  <c r="P54" i="3"/>
  <c r="S54" i="3" s="1"/>
  <c r="P82" i="3"/>
  <c r="S82" i="3" s="1"/>
  <c r="P17" i="3"/>
  <c r="S17" i="3" s="1"/>
  <c r="P25" i="3"/>
  <c r="P70" i="3"/>
  <c r="P77" i="3"/>
  <c r="P16" i="3"/>
  <c r="P24" i="3"/>
  <c r="P75" i="3"/>
  <c r="S75" i="3" s="1"/>
  <c r="P27" i="3"/>
  <c r="S27" i="3" s="1"/>
  <c r="P101" i="3"/>
  <c r="P69" i="3"/>
  <c r="P66" i="3"/>
  <c r="P67" i="3"/>
  <c r="P74" i="3"/>
  <c r="P35" i="3"/>
  <c r="P78" i="3"/>
  <c r="P22" i="3"/>
  <c r="P72" i="3"/>
  <c r="P39" i="3"/>
  <c r="P31" i="3"/>
  <c r="P49" i="3"/>
  <c r="P34" i="3"/>
  <c r="P41" i="3"/>
  <c r="P97" i="3"/>
  <c r="P96" i="3"/>
  <c r="P44" i="3"/>
  <c r="P81" i="3"/>
  <c r="S81" i="3" s="1"/>
  <c r="P47" i="3"/>
  <c r="P43" i="3"/>
  <c r="P42" i="3"/>
  <c r="P79" i="3"/>
  <c r="P73" i="3"/>
  <c r="P61" i="3"/>
  <c r="P15" i="3"/>
  <c r="P48" i="3"/>
  <c r="P98" i="5"/>
  <c r="S98" i="5" s="1"/>
  <c r="P40" i="5"/>
  <c r="P96" i="5"/>
  <c r="P76" i="5"/>
  <c r="S76" i="5" s="1"/>
  <c r="P54" i="5"/>
  <c r="S54" i="5" s="1"/>
  <c r="P50" i="5"/>
  <c r="S50" i="5" s="1"/>
  <c r="P61" i="5"/>
  <c r="S61" i="5" s="1"/>
  <c r="P71" i="5"/>
  <c r="P56" i="5"/>
  <c r="P32" i="5"/>
  <c r="P123" i="17" s="1"/>
  <c r="P63" i="5"/>
  <c r="S63" i="5" s="1"/>
  <c r="P33" i="5"/>
  <c r="S33" i="5" s="1"/>
  <c r="P99" i="5"/>
  <c r="P65" i="5"/>
  <c r="S65" i="5" s="1"/>
  <c r="P20" i="5"/>
  <c r="S20" i="5" s="1"/>
  <c r="P57" i="5"/>
  <c r="P44" i="5"/>
  <c r="S44" i="5" s="1"/>
  <c r="P79" i="5"/>
  <c r="P17" i="5"/>
  <c r="S17" i="5" s="1"/>
  <c r="P37" i="5"/>
  <c r="P60" i="5"/>
  <c r="S60" i="5" s="1"/>
  <c r="P95" i="5"/>
  <c r="P29" i="5"/>
  <c r="P122" i="17" s="1"/>
  <c r="P35" i="5"/>
  <c r="P14" i="5"/>
  <c r="S14" i="5" s="1"/>
  <c r="P48" i="5"/>
  <c r="P69" i="5"/>
  <c r="S69" i="5" s="1"/>
  <c r="P42" i="5"/>
  <c r="S42" i="5" s="1"/>
  <c r="P34" i="5"/>
  <c r="S34" i="5" s="1"/>
  <c r="P21" i="5"/>
  <c r="S21" i="5" s="1"/>
  <c r="P89" i="5"/>
  <c r="P23" i="5"/>
  <c r="P55" i="5"/>
  <c r="P38" i="5"/>
  <c r="S38" i="5" s="1"/>
  <c r="P13" i="5"/>
  <c r="P121" i="17" s="1"/>
  <c r="P78" i="5"/>
  <c r="S78" i="5" s="1"/>
  <c r="P67" i="5"/>
  <c r="P47" i="5"/>
  <c r="P51" i="5"/>
  <c r="P49" i="5"/>
  <c r="S49" i="5" s="1"/>
  <c r="P58" i="5"/>
  <c r="P80" i="5"/>
  <c r="P27" i="5"/>
  <c r="S27" i="5" s="1"/>
  <c r="P70" i="5"/>
  <c r="S70" i="5" s="1"/>
  <c r="P68" i="5"/>
  <c r="S68" i="5" s="1"/>
  <c r="P26" i="5"/>
  <c r="S26" i="5" s="1"/>
  <c r="P19" i="5"/>
  <c r="S19" i="5" s="1"/>
  <c r="P77" i="5"/>
  <c r="S77" i="5" s="1"/>
  <c r="P62" i="5"/>
  <c r="S62" i="5" s="1"/>
  <c r="P22" i="5"/>
  <c r="S22" i="5" s="1"/>
  <c r="P102" i="5"/>
  <c r="P75" i="5"/>
  <c r="P36" i="5"/>
  <c r="S36" i="5" s="1"/>
  <c r="P74" i="5"/>
  <c r="S74" i="5" s="1"/>
  <c r="P45" i="5"/>
  <c r="S45" i="5" s="1"/>
  <c r="P25" i="5"/>
  <c r="S25" i="5" s="1"/>
  <c r="P52" i="5"/>
  <c r="S52" i="5" s="1"/>
  <c r="P30" i="5"/>
  <c r="P64" i="5"/>
  <c r="S64" i="5" s="1"/>
  <c r="P94" i="5"/>
  <c r="S94" i="5" s="1"/>
  <c r="P59" i="5"/>
  <c r="S59" i="5" s="1"/>
  <c r="P39" i="5"/>
  <c r="S39" i="5" s="1"/>
  <c r="P53" i="5"/>
  <c r="S53" i="5" s="1"/>
  <c r="P16" i="5"/>
  <c r="P18" i="5"/>
  <c r="S18" i="5" s="1"/>
  <c r="P93" i="5"/>
  <c r="P24" i="5"/>
  <c r="S24" i="5" s="1"/>
  <c r="P46" i="5"/>
  <c r="S46" i="5" s="1"/>
  <c r="P43" i="5"/>
  <c r="S43" i="5" s="1"/>
  <c r="P66" i="5"/>
  <c r="S66" i="5" s="1"/>
  <c r="P41" i="5"/>
  <c r="P72" i="5"/>
  <c r="P101" i="5"/>
  <c r="P15" i="5"/>
  <c r="S15" i="5" s="1"/>
  <c r="P73" i="5"/>
  <c r="S73" i="5" s="1"/>
  <c r="P100" i="5"/>
  <c r="P140" i="16" s="1"/>
  <c r="P81" i="5"/>
  <c r="P55" i="7"/>
  <c r="P81" i="7"/>
  <c r="P17" i="7"/>
  <c r="P52" i="7"/>
  <c r="P68" i="7"/>
  <c r="P65" i="7"/>
  <c r="P33" i="7"/>
  <c r="P38" i="7"/>
  <c r="P79" i="7"/>
  <c r="P74" i="7"/>
  <c r="P32" i="7"/>
  <c r="P177" i="17" s="1"/>
  <c r="P77" i="7"/>
  <c r="P28" i="7"/>
  <c r="P82" i="7"/>
  <c r="P25" i="7"/>
  <c r="P35" i="7"/>
  <c r="P36" i="7"/>
  <c r="P51" i="7"/>
  <c r="P29" i="7"/>
  <c r="P176" i="17" s="1"/>
  <c r="P49" i="7"/>
  <c r="P73" i="7"/>
  <c r="P63" i="7"/>
  <c r="P75" i="7"/>
  <c r="P18" i="7"/>
  <c r="P69" i="7"/>
  <c r="P67" i="7"/>
  <c r="P27" i="7"/>
  <c r="P53" i="7"/>
  <c r="P101" i="7"/>
  <c r="P50" i="7"/>
  <c r="P78" i="7"/>
  <c r="P46" i="7"/>
  <c r="P48" i="7"/>
  <c r="P54" i="7"/>
  <c r="P56" i="7"/>
  <c r="P58" i="7"/>
  <c r="P62" i="7"/>
  <c r="P71" i="7"/>
  <c r="P22" i="7"/>
  <c r="P40" i="7"/>
  <c r="P76" i="7"/>
  <c r="P95" i="7"/>
  <c r="P96" i="7"/>
  <c r="P26" i="7"/>
  <c r="P24" i="7"/>
  <c r="P41" i="7"/>
  <c r="P19" i="7"/>
  <c r="P59" i="7"/>
  <c r="P43" i="7"/>
  <c r="P16" i="7"/>
  <c r="P97" i="7"/>
  <c r="P44" i="7"/>
  <c r="P47" i="7"/>
  <c r="P60" i="7"/>
  <c r="P14" i="7"/>
  <c r="P80" i="7"/>
  <c r="P98" i="7"/>
  <c r="P23" i="7"/>
  <c r="P37" i="7"/>
  <c r="P42" i="7"/>
  <c r="P39" i="7"/>
  <c r="P66" i="7"/>
  <c r="P20" i="7"/>
  <c r="P45" i="7"/>
  <c r="P61" i="7"/>
  <c r="P70" i="7"/>
  <c r="P57" i="7"/>
  <c r="P72" i="7"/>
  <c r="P30" i="7"/>
  <c r="P34" i="7"/>
  <c r="P64" i="7"/>
  <c r="P21" i="7"/>
  <c r="P70" i="4"/>
  <c r="P16" i="4"/>
  <c r="P28" i="4"/>
  <c r="P68" i="4"/>
  <c r="P20" i="4"/>
  <c r="P45" i="4"/>
  <c r="P25" i="4"/>
  <c r="P46" i="4"/>
  <c r="P29" i="4"/>
  <c r="P95" i="17" s="1"/>
  <c r="P22" i="4"/>
  <c r="P62" i="4"/>
  <c r="P52" i="4"/>
  <c r="P57" i="4"/>
  <c r="P26" i="4"/>
  <c r="P76" i="4"/>
  <c r="P69" i="4"/>
  <c r="P78" i="4"/>
  <c r="P80" i="4"/>
  <c r="P63" i="4"/>
  <c r="P18" i="4"/>
  <c r="P64" i="4"/>
  <c r="P19" i="4"/>
  <c r="P51" i="4"/>
  <c r="P67" i="4"/>
  <c r="P75" i="4"/>
  <c r="P43" i="4"/>
  <c r="P27" i="4"/>
  <c r="P14" i="4"/>
  <c r="P97" i="4"/>
  <c r="P38" i="4"/>
  <c r="P37" i="4"/>
  <c r="P21" i="4"/>
  <c r="P32" i="4"/>
  <c r="P96" i="17" s="1"/>
  <c r="P74" i="4"/>
  <c r="P100" i="4"/>
  <c r="P139" i="16" s="1"/>
  <c r="P13" i="4"/>
  <c r="P94" i="17" s="1"/>
  <c r="P98" i="4"/>
  <c r="P101" i="4"/>
  <c r="P33" i="4"/>
  <c r="P95" i="4"/>
  <c r="P39" i="4"/>
  <c r="P54" i="4"/>
  <c r="P58" i="4"/>
  <c r="P65" i="4"/>
  <c r="P30" i="4"/>
  <c r="P81" i="4"/>
  <c r="P41" i="4"/>
  <c r="P50" i="4"/>
  <c r="P61" i="4"/>
  <c r="P34" i="4"/>
  <c r="P71" i="4"/>
  <c r="P56" i="4"/>
  <c r="P66" i="4"/>
  <c r="P17" i="4"/>
  <c r="P48" i="4"/>
  <c r="P23" i="4"/>
  <c r="P102" i="4"/>
  <c r="P79" i="4"/>
  <c r="P44" i="4"/>
  <c r="P96" i="4"/>
  <c r="P55" i="4"/>
  <c r="P35" i="4"/>
  <c r="P73" i="4"/>
  <c r="P99" i="4"/>
  <c r="P72" i="4"/>
  <c r="P77" i="4"/>
  <c r="P15" i="4"/>
  <c r="P42" i="4"/>
  <c r="P40" i="4"/>
  <c r="P59" i="4"/>
  <c r="P89" i="4"/>
  <c r="P36" i="4"/>
  <c r="P47" i="4"/>
  <c r="P49" i="4"/>
  <c r="P60" i="4"/>
  <c r="P24" i="4"/>
  <c r="P53" i="4"/>
  <c r="S48" i="10"/>
  <c r="R222" i="9"/>
  <c r="R43" i="15"/>
  <c r="Q7" i="5"/>
  <c r="Q224" i="9"/>
  <c r="Q45" i="15"/>
  <c r="P30" i="10"/>
  <c r="S31" i="10"/>
  <c r="P42" i="10"/>
  <c r="S43" i="10"/>
  <c r="R232" i="9"/>
  <c r="R57" i="15"/>
  <c r="S41" i="10"/>
  <c r="P40" i="10"/>
  <c r="P50" i="10"/>
  <c r="S52" i="10"/>
  <c r="P76" i="10"/>
  <c r="S77" i="10"/>
  <c r="T77" i="10" s="1"/>
  <c r="S55" i="10"/>
  <c r="Q76" i="10"/>
  <c r="Q30" i="10"/>
  <c r="T36" i="9"/>
  <c r="S75" i="9"/>
  <c r="R76" i="10"/>
  <c r="R36" i="7"/>
  <c r="R28" i="7"/>
  <c r="R37" i="7"/>
  <c r="R76" i="7"/>
  <c r="R54" i="7"/>
  <c r="R67" i="7"/>
  <c r="R49" i="7"/>
  <c r="R57" i="7"/>
  <c r="R58" i="7"/>
  <c r="R66" i="7"/>
  <c r="R100" i="7"/>
  <c r="R50" i="7"/>
  <c r="R17" i="7"/>
  <c r="R51" i="7"/>
  <c r="R22" i="7"/>
  <c r="R25" i="7"/>
  <c r="R71" i="7"/>
  <c r="R14" i="7"/>
  <c r="R55" i="7"/>
  <c r="R65" i="7"/>
  <c r="R33" i="7"/>
  <c r="R64" i="7"/>
  <c r="R43" i="7"/>
  <c r="R53" i="7"/>
  <c r="R82" i="7"/>
  <c r="R27" i="7"/>
  <c r="R59" i="7"/>
  <c r="R79" i="7"/>
  <c r="R61" i="7"/>
  <c r="R60" i="7"/>
  <c r="R26" i="7"/>
  <c r="R40" i="7"/>
  <c r="R35" i="7"/>
  <c r="R97" i="7"/>
  <c r="R45" i="7"/>
  <c r="R44" i="7"/>
  <c r="R95" i="7"/>
  <c r="R34" i="7"/>
  <c r="R62" i="7"/>
  <c r="R15" i="7"/>
  <c r="R39" i="7"/>
  <c r="R81" i="7"/>
  <c r="R72" i="7"/>
  <c r="R24" i="7"/>
  <c r="R21" i="7"/>
  <c r="R73" i="7"/>
  <c r="R68" i="7"/>
  <c r="R69" i="7"/>
  <c r="R38" i="7"/>
  <c r="R74" i="7"/>
  <c r="R20" i="7"/>
  <c r="R42" i="7"/>
  <c r="R48" i="7"/>
  <c r="R16" i="7"/>
  <c r="R19" i="7"/>
  <c r="R80" i="7"/>
  <c r="R23" i="7"/>
  <c r="R98" i="7"/>
  <c r="R56" i="7"/>
  <c r="R47" i="7"/>
  <c r="R18" i="7"/>
  <c r="R30" i="7"/>
  <c r="R52" i="7"/>
  <c r="R78" i="7"/>
  <c r="R32" i="7"/>
  <c r="R177" i="17" s="1"/>
  <c r="R89" i="7"/>
  <c r="R5" i="7" s="1"/>
  <c r="R184" i="9" s="1"/>
  <c r="R70" i="7"/>
  <c r="R41" i="7"/>
  <c r="R75" i="7"/>
  <c r="R63" i="7"/>
  <c r="R77" i="7"/>
  <c r="R13" i="7"/>
  <c r="R175" i="17" s="1"/>
  <c r="R96" i="7"/>
  <c r="R102" i="7"/>
  <c r="R6" i="7" s="1"/>
  <c r="R99" i="7"/>
  <c r="R46" i="7"/>
  <c r="R29" i="7"/>
  <c r="R176" i="17" s="1"/>
  <c r="R101" i="7"/>
  <c r="R42" i="10"/>
  <c r="R39" i="10" s="1"/>
  <c r="S85" i="9"/>
  <c r="S14" i="10"/>
  <c r="S44" i="9"/>
  <c r="S38" i="9"/>
  <c r="R56" i="15"/>
  <c r="R231" i="9"/>
  <c r="R215" i="9"/>
  <c r="R32" i="15"/>
  <c r="R221" i="9"/>
  <c r="R42" i="15"/>
  <c r="P47" i="10"/>
  <c r="R7" i="5"/>
  <c r="S44" i="6" l="1"/>
  <c r="R73" i="17"/>
  <c r="R76" i="17" s="1"/>
  <c r="P233" i="9"/>
  <c r="Q141" i="15"/>
  <c r="S88" i="5"/>
  <c r="S79" i="5"/>
  <c r="S58" i="5"/>
  <c r="S55" i="5"/>
  <c r="S56" i="5"/>
  <c r="T56" i="5" s="1"/>
  <c r="S57" i="5"/>
  <c r="Q116" i="16"/>
  <c r="S41" i="5"/>
  <c r="T41" i="5" s="1"/>
  <c r="Q139" i="17"/>
  <c r="S47" i="5"/>
  <c r="S16" i="5"/>
  <c r="S35" i="5"/>
  <c r="S71" i="5"/>
  <c r="S55" i="3"/>
  <c r="S81" i="5"/>
  <c r="S70" i="6"/>
  <c r="S51" i="5"/>
  <c r="S30" i="5"/>
  <c r="S48" i="5"/>
  <c r="S40" i="5"/>
  <c r="S61" i="6"/>
  <c r="S77" i="6"/>
  <c r="S72" i="5"/>
  <c r="T72" i="5" s="1"/>
  <c r="S23" i="5"/>
  <c r="S67" i="5"/>
  <c r="S75" i="5"/>
  <c r="S37" i="5"/>
  <c r="S96" i="5"/>
  <c r="Q33" i="15"/>
  <c r="S80" i="5"/>
  <c r="T80" i="5" s="1"/>
  <c r="Q216" i="9"/>
  <c r="S25" i="6"/>
  <c r="T15" i="10"/>
  <c r="S22" i="6"/>
  <c r="S94" i="6"/>
  <c r="S27" i="6"/>
  <c r="S53" i="6"/>
  <c r="S40" i="6"/>
  <c r="T46" i="10"/>
  <c r="R9" i="16"/>
  <c r="N9" i="16"/>
  <c r="Q9" i="16"/>
  <c r="S73" i="6"/>
  <c r="S71" i="6"/>
  <c r="T71" i="6" s="1"/>
  <c r="S93" i="6"/>
  <c r="S50" i="6"/>
  <c r="S78" i="6"/>
  <c r="S39" i="6"/>
  <c r="S69" i="6"/>
  <c r="R46" i="15"/>
  <c r="S80" i="6"/>
  <c r="R225" i="9"/>
  <c r="T58" i="9"/>
  <c r="S34" i="6"/>
  <c r="T98" i="5"/>
  <c r="T94" i="5"/>
  <c r="S96" i="6"/>
  <c r="T96" i="6" s="1"/>
  <c r="T90" i="10"/>
  <c r="T33" i="10"/>
  <c r="T159" i="9"/>
  <c r="T65" i="9"/>
  <c r="S18" i="6"/>
  <c r="T23" i="5"/>
  <c r="T18" i="9"/>
  <c r="T23" i="9"/>
  <c r="T59" i="10"/>
  <c r="T63" i="10"/>
  <c r="T93" i="9"/>
  <c r="T72" i="9"/>
  <c r="T54" i="9"/>
  <c r="T47" i="9"/>
  <c r="T29" i="10"/>
  <c r="T27" i="10"/>
  <c r="T117" i="9"/>
  <c r="T44" i="10"/>
  <c r="T26" i="9"/>
  <c r="T88" i="10"/>
  <c r="T84" i="5"/>
  <c r="T74" i="5"/>
  <c r="R46" i="17"/>
  <c r="R102" i="15"/>
  <c r="R107" i="15"/>
  <c r="R181" i="17"/>
  <c r="P107" i="15"/>
  <c r="P181" i="17"/>
  <c r="R186" i="17"/>
  <c r="R34" i="16"/>
  <c r="P34" i="16"/>
  <c r="P186" i="17"/>
  <c r="S94" i="3"/>
  <c r="R130" i="17"/>
  <c r="Q130" i="17"/>
  <c r="S44" i="4"/>
  <c r="P92" i="15"/>
  <c r="P99" i="17"/>
  <c r="S86" i="4"/>
  <c r="P104" i="15"/>
  <c r="P100" i="17"/>
  <c r="P103" i="17" s="1"/>
  <c r="P31" i="16"/>
  <c r="P105" i="17"/>
  <c r="T21" i="3"/>
  <c r="S67" i="6"/>
  <c r="T67" i="6" s="1"/>
  <c r="S30" i="6"/>
  <c r="T30" i="6" s="1"/>
  <c r="R30" i="15"/>
  <c r="R112" i="16"/>
  <c r="S85" i="3"/>
  <c r="T27" i="3"/>
  <c r="S49" i="3"/>
  <c r="S42" i="3"/>
  <c r="S47" i="3"/>
  <c r="T47" i="3" s="1"/>
  <c r="T17" i="10"/>
  <c r="R95" i="15"/>
  <c r="R180" i="17"/>
  <c r="S97" i="6"/>
  <c r="S48" i="6"/>
  <c r="T48" i="6" s="1"/>
  <c r="S73" i="3"/>
  <c r="T73" i="3" s="1"/>
  <c r="S16" i="3"/>
  <c r="S18" i="3"/>
  <c r="Q91" i="15"/>
  <c r="P73" i="17"/>
  <c r="P103" i="15"/>
  <c r="P30" i="16"/>
  <c r="P78" i="17"/>
  <c r="P95" i="15"/>
  <c r="P180" i="17"/>
  <c r="R7" i="7"/>
  <c r="S56" i="6"/>
  <c r="T20" i="5"/>
  <c r="T18" i="5"/>
  <c r="S24" i="3"/>
  <c r="Q55" i="15"/>
  <c r="R54" i="17"/>
  <c r="R54" i="15"/>
  <c r="R229" i="9"/>
  <c r="T56" i="9"/>
  <c r="T92" i="9"/>
  <c r="T25" i="9"/>
  <c r="T22" i="9"/>
  <c r="Q112" i="16"/>
  <c r="R31" i="17"/>
  <c r="R100" i="16"/>
  <c r="R108" i="16" s="1"/>
  <c r="R30" i="17"/>
  <c r="R29" i="17"/>
  <c r="R88" i="16"/>
  <c r="R96" i="16" s="1"/>
  <c r="Q28" i="17"/>
  <c r="R76" i="16"/>
  <c r="R84" i="16" s="1"/>
  <c r="R28" i="17"/>
  <c r="R64" i="16"/>
  <c r="R27" i="17"/>
  <c r="R25" i="17"/>
  <c r="R40" i="16"/>
  <c r="R48" i="16" s="1"/>
  <c r="P30" i="17"/>
  <c r="P100" i="16"/>
  <c r="P108" i="16" s="1"/>
  <c r="P31" i="17"/>
  <c r="P112" i="16"/>
  <c r="P88" i="16"/>
  <c r="P96" i="16" s="1"/>
  <c r="P29" i="17"/>
  <c r="P76" i="16"/>
  <c r="P84" i="16" s="1"/>
  <c r="P28" i="17"/>
  <c r="T69" i="10"/>
  <c r="T65" i="10"/>
  <c r="T66" i="10"/>
  <c r="T55" i="10"/>
  <c r="P64" i="16"/>
  <c r="P27" i="17"/>
  <c r="P25" i="17"/>
  <c r="P40" i="16"/>
  <c r="P48" i="16" s="1"/>
  <c r="T21" i="9"/>
  <c r="R26" i="17"/>
  <c r="R52" i="16"/>
  <c r="R60" i="16" s="1"/>
  <c r="S50" i="3"/>
  <c r="T50" i="3" s="1"/>
  <c r="T60" i="9"/>
  <c r="S75" i="6"/>
  <c r="S57" i="6"/>
  <c r="S31" i="6"/>
  <c r="Q230" i="9"/>
  <c r="Q88" i="16"/>
  <c r="Q96" i="16" s="1"/>
  <c r="Q29" i="17"/>
  <c r="Q12" i="11"/>
  <c r="S15" i="16"/>
  <c r="S66" i="3"/>
  <c r="S70" i="3"/>
  <c r="S28" i="3"/>
  <c r="S51" i="3"/>
  <c r="Q26" i="17"/>
  <c r="Q52" i="16"/>
  <c r="Q60" i="16" s="1"/>
  <c r="Q27" i="17"/>
  <c r="Q64" i="16"/>
  <c r="Q92" i="15"/>
  <c r="Q99" i="17"/>
  <c r="S93" i="4"/>
  <c r="Q95" i="15"/>
  <c r="Q180" i="17"/>
  <c r="Q11" i="11"/>
  <c r="S14" i="16"/>
  <c r="S24" i="17"/>
  <c r="S28" i="16"/>
  <c r="T28" i="16" s="1"/>
  <c r="T13" i="10"/>
  <c r="Q100" i="16"/>
  <c r="Q108" i="16" s="1"/>
  <c r="Q30" i="17"/>
  <c r="Q100" i="17"/>
  <c r="Q104" i="15"/>
  <c r="S54" i="6"/>
  <c r="Q15" i="11"/>
  <c r="S18" i="16"/>
  <c r="S93" i="3"/>
  <c r="Q30" i="16"/>
  <c r="Q78" i="17"/>
  <c r="S71" i="4"/>
  <c r="T116" i="9"/>
  <c r="Q46" i="17"/>
  <c r="Q102" i="15"/>
  <c r="Q103" i="15"/>
  <c r="Q73" i="17"/>
  <c r="S88" i="3"/>
  <c r="Q31" i="16"/>
  <c r="Q105" i="17"/>
  <c r="S94" i="4"/>
  <c r="S46" i="6"/>
  <c r="Q13" i="11"/>
  <c r="S16" i="16"/>
  <c r="Q14" i="11"/>
  <c r="S17" i="16"/>
  <c r="T17" i="16" s="1"/>
  <c r="S35" i="6"/>
  <c r="Q31" i="17"/>
  <c r="Q25" i="17"/>
  <c r="Q40" i="16"/>
  <c r="Q48" i="16" s="1"/>
  <c r="S124" i="16"/>
  <c r="S32" i="17"/>
  <c r="Q34" i="16"/>
  <c r="Q186" i="17"/>
  <c r="S86" i="7"/>
  <c r="T86" i="7" s="1"/>
  <c r="Q107" i="15"/>
  <c r="Q181" i="17"/>
  <c r="Q10" i="11"/>
  <c r="S13" i="16"/>
  <c r="Q16" i="11"/>
  <c r="S19" i="16"/>
  <c r="S86" i="5"/>
  <c r="P127" i="17"/>
  <c r="P105" i="15"/>
  <c r="S88" i="7"/>
  <c r="S87" i="7"/>
  <c r="S83" i="7"/>
  <c r="S84" i="7"/>
  <c r="S85" i="7"/>
  <c r="S93" i="7"/>
  <c r="S94" i="7"/>
  <c r="R130" i="16"/>
  <c r="R118" i="16" s="1"/>
  <c r="R194" i="17"/>
  <c r="R193" i="17" s="1"/>
  <c r="R189" i="17"/>
  <c r="R70" i="16"/>
  <c r="P189" i="17"/>
  <c r="P70" i="16"/>
  <c r="Q194" i="17"/>
  <c r="Q193" i="17" s="1"/>
  <c r="Q130" i="16"/>
  <c r="Q118" i="16" s="1"/>
  <c r="Q143" i="15"/>
  <c r="Q142" i="16"/>
  <c r="P130" i="16"/>
  <c r="P194" i="17"/>
  <c r="Q189" i="17"/>
  <c r="Q70" i="16"/>
  <c r="R143" i="15"/>
  <c r="R142" i="16"/>
  <c r="R217" i="9"/>
  <c r="S85" i="6"/>
  <c r="P106" i="15"/>
  <c r="P154" i="17"/>
  <c r="R154" i="17"/>
  <c r="R106" i="15"/>
  <c r="P94" i="15"/>
  <c r="P153" i="17"/>
  <c r="R153" i="17"/>
  <c r="R94" i="15"/>
  <c r="R233" i="9"/>
  <c r="P46" i="15"/>
  <c r="S52" i="6"/>
  <c r="S47" i="6"/>
  <c r="S26" i="6"/>
  <c r="S19" i="6"/>
  <c r="S41" i="6"/>
  <c r="S20" i="6"/>
  <c r="Q106" i="15"/>
  <c r="Q154" i="17"/>
  <c r="S74" i="6"/>
  <c r="S87" i="6"/>
  <c r="S88" i="6"/>
  <c r="R58" i="15"/>
  <c r="P225" i="9"/>
  <c r="R34" i="15"/>
  <c r="S45" i="6"/>
  <c r="S17" i="6"/>
  <c r="S23" i="6"/>
  <c r="S72" i="6"/>
  <c r="T72" i="6" s="1"/>
  <c r="S60" i="6"/>
  <c r="Q153" i="17"/>
  <c r="Q94" i="15"/>
  <c r="S59" i="6"/>
  <c r="S28" i="6"/>
  <c r="S64" i="6"/>
  <c r="T64" i="6" s="1"/>
  <c r="R142" i="15"/>
  <c r="S83" i="6"/>
  <c r="T83" i="6" s="1"/>
  <c r="P129" i="16"/>
  <c r="P58" i="15"/>
  <c r="S43" i="6"/>
  <c r="S38" i="6"/>
  <c r="S49" i="6"/>
  <c r="S98" i="6"/>
  <c r="S82" i="6"/>
  <c r="S21" i="6"/>
  <c r="T21" i="6" s="1"/>
  <c r="S42" i="6"/>
  <c r="S58" i="6"/>
  <c r="S65" i="6"/>
  <c r="S55" i="6"/>
  <c r="S24" i="6"/>
  <c r="S62" i="6"/>
  <c r="S81" i="6"/>
  <c r="S33" i="6"/>
  <c r="S36" i="6"/>
  <c r="T36" i="6" s="1"/>
  <c r="S79" i="6"/>
  <c r="S86" i="6"/>
  <c r="S84" i="6"/>
  <c r="P162" i="17"/>
  <c r="P69" i="16"/>
  <c r="R69" i="16"/>
  <c r="R162" i="17"/>
  <c r="Q159" i="17"/>
  <c r="Q33" i="16"/>
  <c r="S101" i="6"/>
  <c r="T101" i="6" s="1"/>
  <c r="Q167" i="17"/>
  <c r="Q166" i="17" s="1"/>
  <c r="Q129" i="16"/>
  <c r="Q117" i="16" s="1"/>
  <c r="Q142" i="15"/>
  <c r="Q141" i="16"/>
  <c r="R167" i="17"/>
  <c r="R166" i="17" s="1"/>
  <c r="R129" i="16"/>
  <c r="R117" i="16" s="1"/>
  <c r="R159" i="17"/>
  <c r="R33" i="16"/>
  <c r="S32" i="6"/>
  <c r="S150" i="17" s="1"/>
  <c r="T150" i="17" s="1"/>
  <c r="Q150" i="17"/>
  <c r="S14" i="6"/>
  <c r="Q162" i="17"/>
  <c r="Q69" i="16"/>
  <c r="S37" i="6"/>
  <c r="S95" i="6"/>
  <c r="T95" i="6" s="1"/>
  <c r="P33" i="16"/>
  <c r="P159" i="17"/>
  <c r="S83" i="5"/>
  <c r="T83" i="5" s="1"/>
  <c r="P126" i="17"/>
  <c r="P93" i="15"/>
  <c r="S99" i="5"/>
  <c r="T99" i="5" s="1"/>
  <c r="S93" i="5"/>
  <c r="T93" i="5" s="1"/>
  <c r="P32" i="16"/>
  <c r="P132" i="17"/>
  <c r="S95" i="5"/>
  <c r="T95" i="5" s="1"/>
  <c r="P68" i="16"/>
  <c r="P135" i="17"/>
  <c r="R141" i="17"/>
  <c r="S101" i="5"/>
  <c r="T101" i="5" s="1"/>
  <c r="P140" i="17"/>
  <c r="P139" i="17" s="1"/>
  <c r="P128" i="16"/>
  <c r="P116" i="16" s="1"/>
  <c r="Q141" i="17"/>
  <c r="S83" i="4"/>
  <c r="S84" i="4"/>
  <c r="S87" i="4"/>
  <c r="S59" i="4"/>
  <c r="S81" i="4"/>
  <c r="S80" i="4"/>
  <c r="S88" i="4"/>
  <c r="S47" i="4"/>
  <c r="S40" i="4"/>
  <c r="S55" i="4"/>
  <c r="S98" i="4"/>
  <c r="S97" i="4"/>
  <c r="T97" i="4" s="1"/>
  <c r="S75" i="4"/>
  <c r="S34" i="4"/>
  <c r="S26" i="4"/>
  <c r="S24" i="4"/>
  <c r="S96" i="4"/>
  <c r="T96" i="4" s="1"/>
  <c r="S56" i="4"/>
  <c r="S18" i="4"/>
  <c r="T88" i="4"/>
  <c r="T86" i="4"/>
  <c r="T87" i="4"/>
  <c r="S36" i="4"/>
  <c r="S23" i="4"/>
  <c r="S50" i="4"/>
  <c r="S21" i="4"/>
  <c r="T21" i="4" s="1"/>
  <c r="S69" i="4"/>
  <c r="S52" i="4"/>
  <c r="S68" i="4"/>
  <c r="S85" i="4"/>
  <c r="R138" i="15"/>
  <c r="S87" i="3"/>
  <c r="S69" i="3"/>
  <c r="S77" i="3"/>
  <c r="S59" i="3"/>
  <c r="S60" i="3"/>
  <c r="S20" i="3"/>
  <c r="T20" i="3" s="1"/>
  <c r="S62" i="3"/>
  <c r="S45" i="3"/>
  <c r="S43" i="3"/>
  <c r="S41" i="3"/>
  <c r="S25" i="3"/>
  <c r="S68" i="3"/>
  <c r="T87" i="3"/>
  <c r="S44" i="3"/>
  <c r="S74" i="3"/>
  <c r="S36" i="3"/>
  <c r="S46" i="3"/>
  <c r="S61" i="3"/>
  <c r="S39" i="3"/>
  <c r="S35" i="3"/>
  <c r="S71" i="3"/>
  <c r="S79" i="3"/>
  <c r="S67" i="3"/>
  <c r="Q187" i="9"/>
  <c r="S38" i="3"/>
  <c r="S58" i="3"/>
  <c r="P81" i="17"/>
  <c r="P66" i="16"/>
  <c r="S23" i="3"/>
  <c r="Q81" i="17"/>
  <c r="Q66" i="16"/>
  <c r="Q86" i="17"/>
  <c r="Q85" i="17" s="1"/>
  <c r="Q126" i="16"/>
  <c r="Q114" i="16" s="1"/>
  <c r="S72" i="3"/>
  <c r="T72" i="3" s="1"/>
  <c r="S101" i="3"/>
  <c r="P86" i="17"/>
  <c r="P126" i="16"/>
  <c r="P91" i="15"/>
  <c r="P72" i="17"/>
  <c r="S63" i="3"/>
  <c r="T63" i="3" s="1"/>
  <c r="S53" i="3"/>
  <c r="Q43" i="15"/>
  <c r="R87" i="17"/>
  <c r="R89" i="17" s="1"/>
  <c r="R51" i="17"/>
  <c r="R29" i="16"/>
  <c r="Q29" i="16"/>
  <c r="Q51" i="17"/>
  <c r="P51" i="17"/>
  <c r="P29" i="16"/>
  <c r="S93" i="2"/>
  <c r="S94" i="2"/>
  <c r="S13" i="2"/>
  <c r="S40" i="17" s="1"/>
  <c r="T40" i="17" s="1"/>
  <c r="S83" i="2"/>
  <c r="P90" i="15"/>
  <c r="P45" i="17"/>
  <c r="P40" i="17"/>
  <c r="S86" i="2"/>
  <c r="P46" i="17"/>
  <c r="R213" i="9"/>
  <c r="R58" i="17"/>
  <c r="R90" i="15"/>
  <c r="R45" i="17"/>
  <c r="R49" i="17" s="1"/>
  <c r="Q45" i="17"/>
  <c r="Q49" i="17" s="1"/>
  <c r="Q90" i="15"/>
  <c r="R7" i="2"/>
  <c r="S84" i="2"/>
  <c r="T86" i="2"/>
  <c r="S87" i="2"/>
  <c r="R125" i="16"/>
  <c r="Q90" i="3"/>
  <c r="Q5" i="3" s="1"/>
  <c r="Q180" i="9" s="1"/>
  <c r="Q214" i="9"/>
  <c r="Q67" i="17"/>
  <c r="Q76" i="17" s="1"/>
  <c r="Q139" i="15"/>
  <c r="Q138" i="16"/>
  <c r="S66" i="4"/>
  <c r="S42" i="4"/>
  <c r="S14" i="4"/>
  <c r="S67" i="4"/>
  <c r="S46" i="4"/>
  <c r="T46" i="4" s="1"/>
  <c r="S35" i="4"/>
  <c r="S17" i="4"/>
  <c r="S19" i="4"/>
  <c r="S45" i="4"/>
  <c r="T62" i="9"/>
  <c r="T51" i="9"/>
  <c r="S63" i="4"/>
  <c r="S25" i="4"/>
  <c r="S49" i="4"/>
  <c r="T49" i="4" s="1"/>
  <c r="S77" i="4"/>
  <c r="S54" i="4"/>
  <c r="S74" i="4"/>
  <c r="S38" i="4"/>
  <c r="S22" i="4"/>
  <c r="S16" i="4"/>
  <c r="S61" i="4"/>
  <c r="S39" i="4"/>
  <c r="S78" i="4"/>
  <c r="S20" i="4"/>
  <c r="P127" i="16"/>
  <c r="P115" i="16" s="1"/>
  <c r="P113" i="17"/>
  <c r="P112" i="17" s="1"/>
  <c r="Q54" i="17"/>
  <c r="Q65" i="16"/>
  <c r="Q113" i="17"/>
  <c r="Q112" i="17" s="1"/>
  <c r="Q127" i="16"/>
  <c r="Q115" i="16" s="1"/>
  <c r="Q140" i="15"/>
  <c r="Q139" i="16"/>
  <c r="P138" i="15"/>
  <c r="P137" i="16"/>
  <c r="S99" i="4"/>
  <c r="S95" i="4"/>
  <c r="P108" i="17"/>
  <c r="P67" i="16"/>
  <c r="Q125" i="16"/>
  <c r="Q59" i="17"/>
  <c r="Q58" i="17" s="1"/>
  <c r="P59" i="17"/>
  <c r="P58" i="17" s="1"/>
  <c r="P125" i="16"/>
  <c r="R114" i="17"/>
  <c r="R116" i="17" s="1"/>
  <c r="Q138" i="15"/>
  <c r="Q137" i="16"/>
  <c r="Q144" i="16" s="1"/>
  <c r="Q67" i="16"/>
  <c r="Q108" i="17"/>
  <c r="P54" i="17"/>
  <c r="P65" i="16"/>
  <c r="S33" i="3"/>
  <c r="S69" i="17" s="1"/>
  <c r="T69" i="17" s="1"/>
  <c r="T49" i="10"/>
  <c r="S48" i="3"/>
  <c r="S22" i="3"/>
  <c r="S65" i="3"/>
  <c r="T112" i="9"/>
  <c r="S61" i="7"/>
  <c r="S46" i="7"/>
  <c r="S69" i="7"/>
  <c r="T69" i="7" s="1"/>
  <c r="S97" i="3"/>
  <c r="S78" i="3"/>
  <c r="S80" i="3"/>
  <c r="S76" i="3"/>
  <c r="S64" i="3"/>
  <c r="S57" i="3"/>
  <c r="Q31" i="15"/>
  <c r="S34" i="7"/>
  <c r="S37" i="7"/>
  <c r="S97" i="7"/>
  <c r="S67" i="7"/>
  <c r="T67" i="7" s="1"/>
  <c r="S49" i="7"/>
  <c r="S35" i="7"/>
  <c r="Q222" i="9"/>
  <c r="S27" i="2"/>
  <c r="S19" i="2"/>
  <c r="T19" i="2" s="1"/>
  <c r="S61" i="2"/>
  <c r="S56" i="2"/>
  <c r="S45" i="2"/>
  <c r="S95" i="3"/>
  <c r="S20" i="2"/>
  <c r="S54" i="2"/>
  <c r="S25" i="2"/>
  <c r="S16" i="2"/>
  <c r="S51" i="2"/>
  <c r="S37" i="2"/>
  <c r="S62" i="2"/>
  <c r="S30" i="2"/>
  <c r="S44" i="2"/>
  <c r="S50" i="2"/>
  <c r="T40" i="9"/>
  <c r="S30" i="3"/>
  <c r="S68" i="17" s="1"/>
  <c r="T68" i="17" s="1"/>
  <c r="Q96" i="10"/>
  <c r="Q9" i="10" s="1"/>
  <c r="S60" i="4"/>
  <c r="S15" i="4"/>
  <c r="S73" i="4"/>
  <c r="S33" i="4"/>
  <c r="S100" i="4"/>
  <c r="P140" i="15"/>
  <c r="S37" i="4"/>
  <c r="S27" i="4"/>
  <c r="T27" i="4" s="1"/>
  <c r="S51" i="4"/>
  <c r="S76" i="4"/>
  <c r="S28" i="4"/>
  <c r="S64" i="7"/>
  <c r="T64" i="7" s="1"/>
  <c r="S57" i="7"/>
  <c r="S42" i="7"/>
  <c r="S80" i="7"/>
  <c r="S59" i="7"/>
  <c r="S24" i="7"/>
  <c r="S76" i="7"/>
  <c r="S62" i="7"/>
  <c r="S54" i="7"/>
  <c r="S50" i="7"/>
  <c r="S75" i="7"/>
  <c r="S28" i="7"/>
  <c r="S65" i="7"/>
  <c r="S81" i="7"/>
  <c r="S100" i="5"/>
  <c r="P141" i="15"/>
  <c r="S53" i="4"/>
  <c r="S57" i="4"/>
  <c r="S58" i="4"/>
  <c r="T58" i="4" s="1"/>
  <c r="S62" i="4"/>
  <c r="S53" i="2"/>
  <c r="S34" i="2"/>
  <c r="T66" i="6"/>
  <c r="Q7" i="6"/>
  <c r="T33" i="5"/>
  <c r="T71" i="5"/>
  <c r="T66" i="5"/>
  <c r="T48" i="5"/>
  <c r="S48" i="4"/>
  <c r="S41" i="4"/>
  <c r="T41" i="4" s="1"/>
  <c r="S100" i="2"/>
  <c r="T100" i="2" s="1"/>
  <c r="S95" i="2"/>
  <c r="S99" i="2"/>
  <c r="S66" i="2"/>
  <c r="Q6" i="3"/>
  <c r="T20" i="15"/>
  <c r="T16" i="15"/>
  <c r="T69" i="6"/>
  <c r="T19" i="15"/>
  <c r="T44" i="9"/>
  <c r="T28" i="3"/>
  <c r="Q215" i="9"/>
  <c r="Q32" i="15"/>
  <c r="T53" i="10"/>
  <c r="S26" i="7"/>
  <c r="S101" i="7"/>
  <c r="S77" i="7"/>
  <c r="T36" i="5"/>
  <c r="T58" i="5"/>
  <c r="T34" i="5"/>
  <c r="T81" i="3"/>
  <c r="T130" i="9"/>
  <c r="S78" i="2"/>
  <c r="S63" i="2"/>
  <c r="S72" i="2"/>
  <c r="S101" i="2"/>
  <c r="P221" i="9"/>
  <c r="P42" i="15"/>
  <c r="S29" i="2"/>
  <c r="S41" i="17" s="1"/>
  <c r="T41" i="17" s="1"/>
  <c r="S68" i="2"/>
  <c r="S80" i="2"/>
  <c r="S79" i="2"/>
  <c r="S64" i="2"/>
  <c r="S39" i="2"/>
  <c r="S49" i="2"/>
  <c r="S38" i="2"/>
  <c r="S47" i="2"/>
  <c r="S40" i="2"/>
  <c r="S55" i="2"/>
  <c r="S59" i="2"/>
  <c r="S22" i="2"/>
  <c r="S52" i="2"/>
  <c r="T124" i="9"/>
  <c r="Q47" i="15"/>
  <c r="Q226" i="9"/>
  <c r="Q7" i="7"/>
  <c r="T16" i="10"/>
  <c r="T35" i="10"/>
  <c r="Q233" i="9"/>
  <c r="Q58" i="15"/>
  <c r="S72" i="10"/>
  <c r="T15" i="15"/>
  <c r="P5" i="4"/>
  <c r="P181" i="9" s="1"/>
  <c r="S89" i="4"/>
  <c r="S44" i="7"/>
  <c r="S36" i="7"/>
  <c r="S80" i="10"/>
  <c r="S25" i="10"/>
  <c r="T18" i="15"/>
  <c r="S79" i="4"/>
  <c r="S101" i="4"/>
  <c r="S48" i="7"/>
  <c r="S63" i="7"/>
  <c r="S68" i="7"/>
  <c r="P232" i="9"/>
  <c r="S32" i="5"/>
  <c r="S123" i="17" s="1"/>
  <c r="T123" i="17" s="1"/>
  <c r="P57" i="15"/>
  <c r="S76" i="10"/>
  <c r="T76" i="10" s="1"/>
  <c r="S72" i="4"/>
  <c r="S102" i="4"/>
  <c r="P6" i="4"/>
  <c r="S64" i="4"/>
  <c r="S60" i="7"/>
  <c r="S96" i="7"/>
  <c r="P226" i="9"/>
  <c r="P47" i="15"/>
  <c r="S29" i="7"/>
  <c r="S176" i="17" s="1"/>
  <c r="T176" i="17" s="1"/>
  <c r="S25" i="7"/>
  <c r="P234" i="9"/>
  <c r="P59" i="15"/>
  <c r="S32" i="7"/>
  <c r="S177" i="17" s="1"/>
  <c r="T177" i="17" s="1"/>
  <c r="S38" i="7"/>
  <c r="S52" i="7"/>
  <c r="T46" i="5"/>
  <c r="T25" i="5"/>
  <c r="T49" i="5"/>
  <c r="T42" i="5"/>
  <c r="P189" i="9"/>
  <c r="S34" i="3"/>
  <c r="T17" i="3"/>
  <c r="S84" i="3"/>
  <c r="P187" i="9"/>
  <c r="T87" i="10"/>
  <c r="T14" i="15"/>
  <c r="Q7" i="2"/>
  <c r="Q44" i="15"/>
  <c r="Q223" i="9"/>
  <c r="P229" i="9"/>
  <c r="P54" i="15"/>
  <c r="S32" i="2"/>
  <c r="S42" i="17" s="1"/>
  <c r="T42" i="17" s="1"/>
  <c r="S102" i="2"/>
  <c r="P6" i="2"/>
  <c r="S98" i="2"/>
  <c r="S58" i="2"/>
  <c r="S26" i="2"/>
  <c r="S67" i="2"/>
  <c r="S41" i="2"/>
  <c r="S48" i="2"/>
  <c r="S43" i="2"/>
  <c r="S21" i="2"/>
  <c r="S97" i="2"/>
  <c r="T30" i="9"/>
  <c r="Q218" i="9"/>
  <c r="Q35" i="15"/>
  <c r="T75" i="10"/>
  <c r="T45" i="10"/>
  <c r="Q217" i="9"/>
  <c r="Q34" i="15"/>
  <c r="T14" i="10"/>
  <c r="S50" i="10"/>
  <c r="T52" i="10"/>
  <c r="S42" i="10"/>
  <c r="T43" i="10"/>
  <c r="S20" i="7"/>
  <c r="T15" i="5"/>
  <c r="T22" i="5"/>
  <c r="T21" i="5"/>
  <c r="S15" i="3"/>
  <c r="S31" i="3"/>
  <c r="Q42" i="15"/>
  <c r="Q221" i="9"/>
  <c r="S46" i="2"/>
  <c r="S15" i="2"/>
  <c r="S89" i="2"/>
  <c r="P5" i="2"/>
  <c r="P179" i="9" s="1"/>
  <c r="S18" i="2"/>
  <c r="T15" i="9"/>
  <c r="Q46" i="15"/>
  <c r="Q225" i="9"/>
  <c r="S43" i="4"/>
  <c r="S70" i="7"/>
  <c r="S14" i="7"/>
  <c r="S40" i="7"/>
  <c r="S58" i="7"/>
  <c r="S79" i="7"/>
  <c r="T62" i="5"/>
  <c r="T67" i="5"/>
  <c r="R47" i="15"/>
  <c r="R226" i="9"/>
  <c r="R234" i="9"/>
  <c r="R59" i="15"/>
  <c r="R96" i="10"/>
  <c r="R9" i="10" s="1"/>
  <c r="U9" i="10" s="1"/>
  <c r="P39" i="10"/>
  <c r="T31" i="10"/>
  <c r="S30" i="10"/>
  <c r="S30" i="4"/>
  <c r="P231" i="9"/>
  <c r="P56" i="15"/>
  <c r="S32" i="4"/>
  <c r="S96" i="17" s="1"/>
  <c r="T96" i="17" s="1"/>
  <c r="P44" i="15"/>
  <c r="P223" i="9"/>
  <c r="S29" i="4"/>
  <c r="S95" i="17" s="1"/>
  <c r="T95" i="17" s="1"/>
  <c r="S70" i="4"/>
  <c r="S30" i="7"/>
  <c r="S66" i="7"/>
  <c r="S23" i="7"/>
  <c r="S16" i="7"/>
  <c r="S19" i="7"/>
  <c r="S22" i="7"/>
  <c r="S56" i="7"/>
  <c r="S53" i="7"/>
  <c r="S73" i="7"/>
  <c r="S55" i="7"/>
  <c r="R31" i="15"/>
  <c r="R214" i="9"/>
  <c r="R90" i="3"/>
  <c r="R5" i="3" s="1"/>
  <c r="R180" i="9" s="1"/>
  <c r="R218" i="9"/>
  <c r="R35" i="15"/>
  <c r="T41" i="10"/>
  <c r="S40" i="10"/>
  <c r="S47" i="10"/>
  <c r="T48" i="10"/>
  <c r="S29" i="6"/>
  <c r="S149" i="17" s="1"/>
  <c r="T149" i="17" s="1"/>
  <c r="T42" i="4"/>
  <c r="S65" i="4"/>
  <c r="P215" i="9"/>
  <c r="P32" i="15"/>
  <c r="S13" i="4"/>
  <c r="S94" i="17" s="1"/>
  <c r="T94" i="17" s="1"/>
  <c r="S21" i="7"/>
  <c r="S72" i="7"/>
  <c r="S45" i="7"/>
  <c r="S39" i="7"/>
  <c r="S98" i="7"/>
  <c r="S47" i="7"/>
  <c r="S43" i="7"/>
  <c r="S41" i="7"/>
  <c r="S95" i="7"/>
  <c r="S71" i="7"/>
  <c r="S78" i="7"/>
  <c r="S27" i="7"/>
  <c r="S18" i="7"/>
  <c r="S31" i="7"/>
  <c r="V31" i="7" s="1"/>
  <c r="S51" i="7"/>
  <c r="S82" i="7"/>
  <c r="S74" i="7"/>
  <c r="S33" i="7"/>
  <c r="S17" i="7"/>
  <c r="T53" i="5"/>
  <c r="T64" i="5"/>
  <c r="P6" i="5"/>
  <c r="S102" i="5"/>
  <c r="T19" i="5"/>
  <c r="T27" i="5"/>
  <c r="P216" i="9"/>
  <c r="S13" i="5"/>
  <c r="S121" i="17" s="1"/>
  <c r="T121" i="17" s="1"/>
  <c r="P33" i="15"/>
  <c r="P5" i="5"/>
  <c r="P182" i="9" s="1"/>
  <c r="S89" i="5"/>
  <c r="P45" i="15"/>
  <c r="S29" i="5"/>
  <c r="S122" i="17" s="1"/>
  <c r="T122" i="17" s="1"/>
  <c r="P224" i="9"/>
  <c r="T17" i="5"/>
  <c r="S96" i="3"/>
  <c r="T37" i="3"/>
  <c r="Q229" i="9"/>
  <c r="Q54" i="15"/>
  <c r="Q7" i="4"/>
  <c r="Q231" i="9"/>
  <c r="Q56" i="15"/>
  <c r="S35" i="2"/>
  <c r="S73" i="2"/>
  <c r="S36" i="2"/>
  <c r="S23" i="2"/>
  <c r="S70" i="2"/>
  <c r="S75" i="2"/>
  <c r="S96" i="2"/>
  <c r="S57" i="2"/>
  <c r="S42" i="2"/>
  <c r="S76" i="2"/>
  <c r="S60" i="2"/>
  <c r="S74" i="2"/>
  <c r="S77" i="2"/>
  <c r="S33" i="2"/>
  <c r="S65" i="2"/>
  <c r="S71" i="2"/>
  <c r="S17" i="2"/>
  <c r="S69" i="2"/>
  <c r="S81" i="2"/>
  <c r="T70" i="9"/>
  <c r="Q234" i="9"/>
  <c r="Q59" i="15"/>
  <c r="S67" i="10"/>
  <c r="T67" i="10" s="1"/>
  <c r="T18" i="10"/>
  <c r="T30" i="5" l="1"/>
  <c r="S33" i="16"/>
  <c r="S159" i="17"/>
  <c r="T34" i="6"/>
  <c r="R184" i="17"/>
  <c r="R144" i="16"/>
  <c r="R21" i="16" s="1"/>
  <c r="R18" i="11" s="1"/>
  <c r="S112" i="16"/>
  <c r="T112" i="16" s="1"/>
  <c r="R109" i="15"/>
  <c r="R49" i="15"/>
  <c r="P130" i="17"/>
  <c r="T30" i="2"/>
  <c r="T101" i="3"/>
  <c r="T87" i="7"/>
  <c r="T62" i="2"/>
  <c r="R157" i="17"/>
  <c r="Q103" i="17"/>
  <c r="T80" i="6"/>
  <c r="R227" i="9"/>
  <c r="R143" i="17"/>
  <c r="T83" i="2"/>
  <c r="Q143" i="17"/>
  <c r="T84" i="4"/>
  <c r="T98" i="2"/>
  <c r="T98" i="4"/>
  <c r="T74" i="7"/>
  <c r="T98" i="6"/>
  <c r="T74" i="6"/>
  <c r="T34" i="2"/>
  <c r="T88" i="3"/>
  <c r="T49" i="3"/>
  <c r="T74" i="3"/>
  <c r="T18" i="6"/>
  <c r="T23" i="2"/>
  <c r="T74" i="2"/>
  <c r="T16" i="2"/>
  <c r="T83" i="4"/>
  <c r="T74" i="4"/>
  <c r="T66" i="4"/>
  <c r="T67" i="4"/>
  <c r="T62" i="4"/>
  <c r="T34" i="4"/>
  <c r="T84" i="6"/>
  <c r="R60" i="17"/>
  <c r="R62" i="17" s="1"/>
  <c r="T42" i="7"/>
  <c r="T46" i="7"/>
  <c r="T41" i="7"/>
  <c r="P109" i="15"/>
  <c r="T43" i="3"/>
  <c r="T67" i="3"/>
  <c r="T24" i="3"/>
  <c r="S104" i="15"/>
  <c r="S100" i="17"/>
  <c r="T97" i="6"/>
  <c r="T56" i="6"/>
  <c r="T62" i="6"/>
  <c r="T46" i="6"/>
  <c r="T42" i="6"/>
  <c r="T41" i="6"/>
  <c r="T23" i="6"/>
  <c r="T26" i="4"/>
  <c r="T42" i="3"/>
  <c r="R145" i="15"/>
  <c r="R22" i="15" s="1"/>
  <c r="R23" i="15" s="1"/>
  <c r="T85" i="3"/>
  <c r="Q7" i="3"/>
  <c r="R72" i="16"/>
  <c r="R33" i="17"/>
  <c r="R35" i="17" s="1"/>
  <c r="T19" i="6"/>
  <c r="Q87" i="17"/>
  <c r="Q89" i="17" s="1"/>
  <c r="R235" i="9"/>
  <c r="T58" i="6"/>
  <c r="T32" i="6"/>
  <c r="S233" i="9"/>
  <c r="S58" i="15"/>
  <c r="T58" i="15" s="1"/>
  <c r="T100" i="5"/>
  <c r="T48" i="4"/>
  <c r="T80" i="4"/>
  <c r="T16" i="4"/>
  <c r="T68" i="3"/>
  <c r="T65" i="3"/>
  <c r="T22" i="3"/>
  <c r="P60" i="17"/>
  <c r="T22" i="2"/>
  <c r="T21" i="2"/>
  <c r="T18" i="2"/>
  <c r="T25" i="10"/>
  <c r="P96" i="10"/>
  <c r="P9" i="10" s="1"/>
  <c r="P26" i="17"/>
  <c r="P33" i="17" s="1"/>
  <c r="P52" i="16"/>
  <c r="P60" i="16" s="1"/>
  <c r="T49" i="6"/>
  <c r="Q205" i="9"/>
  <c r="Q206" i="9" s="1"/>
  <c r="T59" i="3"/>
  <c r="Q33" i="17"/>
  <c r="Q35" i="17" s="1"/>
  <c r="S46" i="17"/>
  <c r="S102" i="15"/>
  <c r="S99" i="17"/>
  <c r="T99" i="17" s="1"/>
  <c r="S92" i="15"/>
  <c r="T92" i="15" s="1"/>
  <c r="S27" i="17"/>
  <c r="T27" i="17" s="1"/>
  <c r="S64" i="16"/>
  <c r="T64" i="16" s="1"/>
  <c r="Q97" i="15"/>
  <c r="Q157" i="17"/>
  <c r="Q109" i="15"/>
  <c r="S10" i="11"/>
  <c r="T13" i="16"/>
  <c r="S181" i="17"/>
  <c r="S107" i="15"/>
  <c r="S105" i="17"/>
  <c r="S31" i="16"/>
  <c r="S76" i="16"/>
  <c r="S28" i="17"/>
  <c r="T28" i="17" s="1"/>
  <c r="S100" i="16"/>
  <c r="S108" i="16" s="1"/>
  <c r="S30" i="17"/>
  <c r="S31" i="17"/>
  <c r="T31" i="17" s="1"/>
  <c r="S15" i="11"/>
  <c r="T18" i="16"/>
  <c r="T15" i="16"/>
  <c r="S12" i="11"/>
  <c r="S25" i="17"/>
  <c r="T25" i="17" s="1"/>
  <c r="S40" i="16"/>
  <c r="S103" i="15"/>
  <c r="S73" i="17"/>
  <c r="S180" i="17"/>
  <c r="T180" i="17" s="1"/>
  <c r="S95" i="15"/>
  <c r="T95" i="15" s="1"/>
  <c r="T19" i="16"/>
  <c r="S16" i="11"/>
  <c r="S14" i="11"/>
  <c r="T24" i="17"/>
  <c r="S88" i="16"/>
  <c r="S96" i="16" s="1"/>
  <c r="S29" i="17"/>
  <c r="T16" i="16"/>
  <c r="S13" i="11"/>
  <c r="T95" i="4"/>
  <c r="T33" i="4"/>
  <c r="S34" i="16"/>
  <c r="S186" i="17"/>
  <c r="S30" i="16"/>
  <c r="S78" i="17"/>
  <c r="S11" i="11"/>
  <c r="T14" i="16"/>
  <c r="Q184" i="17"/>
  <c r="S127" i="17"/>
  <c r="S105" i="15"/>
  <c r="T97" i="7"/>
  <c r="T62" i="7"/>
  <c r="Q195" i="17"/>
  <c r="T83" i="7"/>
  <c r="R195" i="17"/>
  <c r="R197" i="17" s="1"/>
  <c r="R61" i="15"/>
  <c r="S189" i="17"/>
  <c r="T189" i="17" s="1"/>
  <c r="S70" i="16"/>
  <c r="T70" i="16" s="1"/>
  <c r="S130" i="16"/>
  <c r="T130" i="16" s="1"/>
  <c r="S194" i="17"/>
  <c r="T194" i="17" s="1"/>
  <c r="S154" i="17"/>
  <c r="S106" i="15"/>
  <c r="R36" i="16"/>
  <c r="T33" i="6"/>
  <c r="R97" i="15"/>
  <c r="S153" i="17"/>
  <c r="T153" i="17" s="1"/>
  <c r="S94" i="15"/>
  <c r="T94" i="15" s="1"/>
  <c r="Q36" i="16"/>
  <c r="Q168" i="17"/>
  <c r="S167" i="17"/>
  <c r="T167" i="17" s="1"/>
  <c r="S129" i="16"/>
  <c r="T129" i="16" s="1"/>
  <c r="P36" i="16"/>
  <c r="S162" i="17"/>
  <c r="T162" i="17" s="1"/>
  <c r="S69" i="16"/>
  <c r="T69" i="16" s="1"/>
  <c r="R168" i="17"/>
  <c r="R170" i="17" s="1"/>
  <c r="S126" i="17"/>
  <c r="T126" i="17" s="1"/>
  <c r="S93" i="15"/>
  <c r="T93" i="15" s="1"/>
  <c r="P141" i="17"/>
  <c r="P143" i="17" s="1"/>
  <c r="S32" i="16"/>
  <c r="S132" i="17"/>
  <c r="S141" i="15"/>
  <c r="T141" i="15" s="1"/>
  <c r="S140" i="16"/>
  <c r="T140" i="16" s="1"/>
  <c r="S140" i="17"/>
  <c r="T140" i="17" s="1"/>
  <c r="S128" i="16"/>
  <c r="S68" i="16"/>
  <c r="T68" i="16" s="1"/>
  <c r="S135" i="17"/>
  <c r="T135" i="17" s="1"/>
  <c r="P97" i="15"/>
  <c r="T23" i="4"/>
  <c r="T19" i="4"/>
  <c r="T15" i="4"/>
  <c r="T36" i="4"/>
  <c r="T85" i="4"/>
  <c r="Q114" i="17"/>
  <c r="Q116" i="17" s="1"/>
  <c r="P114" i="17"/>
  <c r="P116" i="17" s="1"/>
  <c r="T33" i="3"/>
  <c r="Q198" i="9"/>
  <c r="Q200" i="9" s="1"/>
  <c r="T35" i="3"/>
  <c r="S66" i="16"/>
  <c r="S81" i="17"/>
  <c r="S91" i="15"/>
  <c r="T91" i="15" s="1"/>
  <c r="S72" i="17"/>
  <c r="T72" i="17" s="1"/>
  <c r="S126" i="16"/>
  <c r="T126" i="16" s="1"/>
  <c r="S86" i="17"/>
  <c r="T86" i="17" s="1"/>
  <c r="T13" i="2"/>
  <c r="S29" i="16"/>
  <c r="S51" i="17"/>
  <c r="P49" i="17"/>
  <c r="S90" i="15"/>
  <c r="T90" i="15" s="1"/>
  <c r="S45" i="17"/>
  <c r="T45" i="17" s="1"/>
  <c r="T84" i="2"/>
  <c r="T87" i="2"/>
  <c r="T95" i="2"/>
  <c r="T53" i="2"/>
  <c r="R113" i="16"/>
  <c r="R120" i="16" s="1"/>
  <c r="R20" i="16" s="1"/>
  <c r="R132" i="16"/>
  <c r="R37" i="15"/>
  <c r="R7" i="3"/>
  <c r="Q21" i="16"/>
  <c r="Q18" i="11" s="1"/>
  <c r="T99" i="4"/>
  <c r="T100" i="4"/>
  <c r="Q49" i="15"/>
  <c r="P72" i="16"/>
  <c r="P132" i="16"/>
  <c r="P113" i="16"/>
  <c r="Q145" i="15"/>
  <c r="Q22" i="15" s="1"/>
  <c r="Q23" i="15" s="1"/>
  <c r="P7" i="4"/>
  <c r="Q61" i="15"/>
  <c r="S59" i="17"/>
  <c r="T59" i="17" s="1"/>
  <c r="S125" i="16"/>
  <c r="S54" i="17"/>
  <c r="T54" i="17" s="1"/>
  <c r="S65" i="16"/>
  <c r="T65" i="16" s="1"/>
  <c r="Q72" i="16"/>
  <c r="S138" i="15"/>
  <c r="T138" i="15" s="1"/>
  <c r="S137" i="16"/>
  <c r="T137" i="16" s="1"/>
  <c r="Q60" i="17"/>
  <c r="Q62" i="17" s="1"/>
  <c r="S113" i="17"/>
  <c r="T113" i="17" s="1"/>
  <c r="S127" i="16"/>
  <c r="S140" i="15"/>
  <c r="T140" i="15" s="1"/>
  <c r="S139" i="16"/>
  <c r="T139" i="16" s="1"/>
  <c r="Q113" i="16"/>
  <c r="Q120" i="16" s="1"/>
  <c r="Q20" i="16" s="1"/>
  <c r="Q132" i="16"/>
  <c r="S108" i="17"/>
  <c r="T108" i="17" s="1"/>
  <c r="S67" i="16"/>
  <c r="T67" i="16" s="1"/>
  <c r="T66" i="2"/>
  <c r="I41" i="11"/>
  <c r="T49" i="7"/>
  <c r="T34" i="7"/>
  <c r="T66" i="7"/>
  <c r="T48" i="7"/>
  <c r="T80" i="7"/>
  <c r="T71" i="7"/>
  <c r="T30" i="3"/>
  <c r="T33" i="7"/>
  <c r="R219" i="9"/>
  <c r="P7" i="5"/>
  <c r="Q235" i="9"/>
  <c r="T99" i="2"/>
  <c r="T33" i="2"/>
  <c r="S216" i="9"/>
  <c r="T13" i="5"/>
  <c r="S33" i="15"/>
  <c r="T33" i="15" s="1"/>
  <c r="T13" i="4"/>
  <c r="S32" i="15"/>
  <c r="T32" i="15" s="1"/>
  <c r="S215" i="9"/>
  <c r="T29" i="6"/>
  <c r="S225" i="9"/>
  <c r="S46" i="15"/>
  <c r="T46" i="15" s="1"/>
  <c r="T40" i="10"/>
  <c r="S39" i="10"/>
  <c r="R198" i="9"/>
  <c r="R200" i="9" s="1"/>
  <c r="R205" i="9"/>
  <c r="T19" i="7"/>
  <c r="T30" i="7"/>
  <c r="T30" i="4"/>
  <c r="T15" i="2"/>
  <c r="T48" i="2"/>
  <c r="T58" i="2"/>
  <c r="S229" i="9"/>
  <c r="T32" i="2"/>
  <c r="S54" i="15"/>
  <c r="T54" i="15" s="1"/>
  <c r="T84" i="3"/>
  <c r="S187" i="9"/>
  <c r="P230" i="9"/>
  <c r="P235" i="9" s="1"/>
  <c r="P55" i="15"/>
  <c r="P61" i="15" s="1"/>
  <c r="S59" i="15"/>
  <c r="T59" i="15" s="1"/>
  <c r="T32" i="7"/>
  <c r="S234" i="9"/>
  <c r="T29" i="7"/>
  <c r="S47" i="15"/>
  <c r="T47" i="15" s="1"/>
  <c r="S226" i="9"/>
  <c r="T72" i="4"/>
  <c r="T101" i="4"/>
  <c r="T36" i="7"/>
  <c r="S231" i="9"/>
  <c r="T32" i="4"/>
  <c r="S56" i="15"/>
  <c r="T56" i="15" s="1"/>
  <c r="T30" i="10"/>
  <c r="P30" i="15"/>
  <c r="P213" i="9"/>
  <c r="T31" i="3"/>
  <c r="T42" i="10"/>
  <c r="T50" i="10"/>
  <c r="T97" i="2"/>
  <c r="T41" i="2"/>
  <c r="T80" i="10"/>
  <c r="S5" i="4"/>
  <c r="T89" i="4"/>
  <c r="T72" i="10"/>
  <c r="T49" i="2"/>
  <c r="T80" i="2"/>
  <c r="T89" i="5"/>
  <c r="S5" i="5"/>
  <c r="T71" i="2"/>
  <c r="T102" i="5"/>
  <c r="S6" i="5"/>
  <c r="T72" i="7"/>
  <c r="T47" i="10"/>
  <c r="T56" i="7"/>
  <c r="T29" i="4"/>
  <c r="S44" i="15"/>
  <c r="T44" i="15" s="1"/>
  <c r="S223" i="9"/>
  <c r="T58" i="7"/>
  <c r="T46" i="2"/>
  <c r="P43" i="15"/>
  <c r="P49" i="15" s="1"/>
  <c r="P222" i="9"/>
  <c r="P227" i="9" s="1"/>
  <c r="T67" i="2"/>
  <c r="P7" i="2"/>
  <c r="T40" i="2"/>
  <c r="T101" i="2"/>
  <c r="T42" i="2"/>
  <c r="T96" i="2"/>
  <c r="T36" i="2"/>
  <c r="S45" i="15"/>
  <c r="T45" i="15" s="1"/>
  <c r="T29" i="5"/>
  <c r="S224" i="9"/>
  <c r="T98" i="7"/>
  <c r="T21" i="7"/>
  <c r="T89" i="2"/>
  <c r="S5" i="2"/>
  <c r="Q227" i="9"/>
  <c r="T15" i="3"/>
  <c r="T102" i="2"/>
  <c r="S6" i="2"/>
  <c r="T34" i="3"/>
  <c r="S189" i="9"/>
  <c r="T64" i="4"/>
  <c r="T102" i="4"/>
  <c r="S6" i="4"/>
  <c r="S232" i="9"/>
  <c r="T32" i="5"/>
  <c r="S57" i="15"/>
  <c r="T57" i="15" s="1"/>
  <c r="T64" i="2"/>
  <c r="S221" i="9"/>
  <c r="T29" i="2"/>
  <c r="S42" i="15"/>
  <c r="T42" i="15" s="1"/>
  <c r="T72" i="2"/>
  <c r="Q213" i="9"/>
  <c r="Q219" i="9" s="1"/>
  <c r="Q30" i="15"/>
  <c r="Q37" i="15" s="1"/>
  <c r="S115" i="16" l="1"/>
  <c r="T115" i="16" s="1"/>
  <c r="T127" i="16"/>
  <c r="S113" i="16"/>
  <c r="T113" i="16" s="1"/>
  <c r="T125" i="16"/>
  <c r="S116" i="16"/>
  <c r="T116" i="16" s="1"/>
  <c r="T128" i="16"/>
  <c r="S84" i="16"/>
  <c r="T84" i="16" s="1"/>
  <c r="T76" i="16"/>
  <c r="S48" i="16"/>
  <c r="T48" i="16" s="1"/>
  <c r="T40" i="16"/>
  <c r="P62" i="17"/>
  <c r="T16" i="11"/>
  <c r="S103" i="17"/>
  <c r="T103" i="17" s="1"/>
  <c r="Q208" i="9"/>
  <c r="Q209" i="9" s="1"/>
  <c r="T14" i="11"/>
  <c r="R17" i="11"/>
  <c r="R19" i="11" s="1"/>
  <c r="R41" i="11" s="1"/>
  <c r="R22" i="16"/>
  <c r="Q17" i="11"/>
  <c r="Q19" i="11" s="1"/>
  <c r="Q41" i="11" s="1"/>
  <c r="Q22" i="16"/>
  <c r="S26" i="17"/>
  <c r="T26" i="17" s="1"/>
  <c r="S52" i="16"/>
  <c r="Q197" i="17"/>
  <c r="T13" i="11"/>
  <c r="T10" i="11"/>
  <c r="Q170" i="17"/>
  <c r="T11" i="11"/>
  <c r="T12" i="11"/>
  <c r="S96" i="10"/>
  <c r="S9" i="10" s="1"/>
  <c r="T15" i="11"/>
  <c r="S130" i="17"/>
  <c r="T130" i="17" s="1"/>
  <c r="S109" i="15"/>
  <c r="T109" i="15" s="1"/>
  <c r="S139" i="17"/>
  <c r="T139" i="17" s="1"/>
  <c r="S97" i="15"/>
  <c r="T97" i="15" s="1"/>
  <c r="S36" i="16"/>
  <c r="T36" i="16" s="1"/>
  <c r="S49" i="17"/>
  <c r="T49" i="17" s="1"/>
  <c r="S132" i="16"/>
  <c r="T132" i="16" s="1"/>
  <c r="S58" i="17"/>
  <c r="T58" i="17" s="1"/>
  <c r="S112" i="17"/>
  <c r="T112" i="17" s="1"/>
  <c r="S72" i="16"/>
  <c r="T72" i="16" s="1"/>
  <c r="T5" i="5"/>
  <c r="S182" i="9"/>
  <c r="S213" i="9"/>
  <c r="S30" i="15"/>
  <c r="T30" i="15" s="1"/>
  <c r="R206" i="9"/>
  <c r="R208" i="9"/>
  <c r="R209" i="9" s="1"/>
  <c r="S7" i="4"/>
  <c r="T6" i="4"/>
  <c r="S55" i="15"/>
  <c r="S230" i="9"/>
  <c r="S235" i="9" s="1"/>
  <c r="T5" i="2"/>
  <c r="S179" i="9"/>
  <c r="T6" i="2"/>
  <c r="S7" i="2"/>
  <c r="T6" i="5"/>
  <c r="S7" i="5"/>
  <c r="S181" i="9"/>
  <c r="T5" i="4"/>
  <c r="S222" i="9"/>
  <c r="S227" i="9" s="1"/>
  <c r="S43" i="15"/>
  <c r="T39" i="10"/>
  <c r="S49" i="15" l="1"/>
  <c r="T49" i="15" s="1"/>
  <c r="T43" i="15"/>
  <c r="S61" i="15"/>
  <c r="T61" i="15" s="1"/>
  <c r="T55" i="15"/>
  <c r="S60" i="16"/>
  <c r="T60" i="16" s="1"/>
  <c r="T52" i="16"/>
  <c r="S141" i="17"/>
  <c r="T141" i="17" s="1"/>
  <c r="T7" i="4"/>
  <c r="S33" i="17"/>
  <c r="T33" i="17" s="1"/>
  <c r="T96" i="10"/>
  <c r="S114" i="17"/>
  <c r="T114" i="17" s="1"/>
  <c r="S60" i="17"/>
  <c r="T60" i="17" s="1"/>
  <c r="T7" i="5"/>
  <c r="T7" i="2"/>
  <c r="T9" i="10"/>
  <c r="S143" i="17" l="1"/>
  <c r="S62" i="17"/>
  <c r="S116" i="17"/>
  <c r="P118" i="9" l="1"/>
  <c r="S118" i="9" s="1"/>
  <c r="C106" i="9"/>
  <c r="P106" i="9" l="1"/>
  <c r="T118" i="9"/>
  <c r="C17" i="17"/>
  <c r="C77" i="15"/>
  <c r="C85" i="15" s="1"/>
  <c r="C17" i="15" s="1"/>
  <c r="P17" i="17" l="1"/>
  <c r="P77" i="15"/>
  <c r="P85" i="15" s="1"/>
  <c r="S106" i="9"/>
  <c r="C31" i="11"/>
  <c r="P17" i="15"/>
  <c r="S17" i="17" l="1"/>
  <c r="S77" i="15"/>
  <c r="S85" i="15" s="1"/>
  <c r="T106" i="9"/>
  <c r="S17" i="15"/>
  <c r="P31" i="11"/>
  <c r="T17" i="15" l="1"/>
  <c r="S31" i="11"/>
  <c r="T31" i="11" l="1"/>
  <c r="P15" i="7"/>
  <c r="S15" i="7" s="1"/>
  <c r="C13" i="7"/>
  <c r="P13" i="7" s="1"/>
  <c r="P218" i="9" l="1"/>
  <c r="S13" i="7"/>
  <c r="P35" i="15"/>
  <c r="P175" i="17"/>
  <c r="P184" i="17" s="1"/>
  <c r="C175" i="17"/>
  <c r="C184" i="17" s="1"/>
  <c r="C35" i="15"/>
  <c r="C89" i="7"/>
  <c r="C218" i="9"/>
  <c r="S35" i="15" l="1"/>
  <c r="T35" i="15" s="1"/>
  <c r="S175" i="17"/>
  <c r="T175" i="17" s="1"/>
  <c r="S218" i="9"/>
  <c r="C5" i="7"/>
  <c r="C104" i="7"/>
  <c r="C100" i="7" s="1"/>
  <c r="D107" i="7" s="1"/>
  <c r="P89" i="7"/>
  <c r="C142" i="16" l="1"/>
  <c r="C99" i="7"/>
  <c r="C143" i="15"/>
  <c r="P100" i="7"/>
  <c r="S184" i="17"/>
  <c r="T184" i="17" s="1"/>
  <c r="P5" i="7"/>
  <c r="P184" i="9" s="1"/>
  <c r="S89" i="7"/>
  <c r="C184" i="9"/>
  <c r="S5" i="7" l="1"/>
  <c r="C118" i="16"/>
  <c r="C193" i="17"/>
  <c r="C195" i="17" s="1"/>
  <c r="C197" i="17" s="1"/>
  <c r="C102" i="7"/>
  <c r="P99" i="7"/>
  <c r="P142" i="16"/>
  <c r="S100" i="7"/>
  <c r="T100" i="7" s="1"/>
  <c r="P143" i="15"/>
  <c r="C6" i="7" l="1"/>
  <c r="P102" i="7"/>
  <c r="S184" i="9"/>
  <c r="T5" i="7"/>
  <c r="S143" i="15"/>
  <c r="T143" i="15" s="1"/>
  <c r="S142" i="16"/>
  <c r="T142" i="16" s="1"/>
  <c r="P193" i="17"/>
  <c r="P195" i="17" s="1"/>
  <c r="P197" i="17" s="1"/>
  <c r="S99" i="7"/>
  <c r="P118" i="16"/>
  <c r="T99" i="7" l="1"/>
  <c r="S193" i="17"/>
  <c r="T193" i="17" s="1"/>
  <c r="S118" i="16"/>
  <c r="T118" i="16" s="1"/>
  <c r="P6" i="7"/>
  <c r="P7" i="7" s="1"/>
  <c r="S102" i="7"/>
  <c r="C7" i="7"/>
  <c r="T7" i="7" s="1"/>
  <c r="S195" i="17" l="1"/>
  <c r="T195" i="17" s="1"/>
  <c r="S6" i="7"/>
  <c r="S7" i="7" l="1"/>
  <c r="T6" i="7"/>
  <c r="S197" i="17"/>
  <c r="T15" i="7"/>
  <c r="C13" i="6"/>
  <c r="C34" i="15" l="1"/>
  <c r="C89" i="6"/>
  <c r="P13" i="6"/>
  <c r="C217" i="9"/>
  <c r="T13" i="7"/>
  <c r="C148" i="17"/>
  <c r="C157" i="17" s="1"/>
  <c r="P34" i="15" l="1"/>
  <c r="P148" i="17"/>
  <c r="P157" i="17" s="1"/>
  <c r="P217" i="9"/>
  <c r="S13" i="6"/>
  <c r="T89" i="7"/>
  <c r="C5" i="6"/>
  <c r="C105" i="6"/>
  <c r="C100" i="6" s="1"/>
  <c r="C108" i="6" s="1"/>
  <c r="P89" i="6"/>
  <c r="C183" i="9" l="1"/>
  <c r="S217" i="9"/>
  <c r="S34" i="15"/>
  <c r="T34" i="15" s="1"/>
  <c r="S148" i="17"/>
  <c r="T148" i="17" s="1"/>
  <c r="T13" i="6"/>
  <c r="S89" i="6"/>
  <c r="P5" i="6"/>
  <c r="P183" i="9" s="1"/>
  <c r="T102" i="7"/>
  <c r="C141" i="16"/>
  <c r="C99" i="6"/>
  <c r="C142" i="15"/>
  <c r="P100" i="6"/>
  <c r="S5" i="6" l="1"/>
  <c r="T89" i="6"/>
  <c r="S157" i="17"/>
  <c r="T157" i="17" s="1"/>
  <c r="P142" i="15"/>
  <c r="P141" i="16"/>
  <c r="S100" i="6"/>
  <c r="P99" i="6"/>
  <c r="C166" i="17"/>
  <c r="C168" i="17" s="1"/>
  <c r="C170" i="17" s="1"/>
  <c r="C117" i="16"/>
  <c r="C102" i="6"/>
  <c r="T101" i="7"/>
  <c r="C6" i="6" l="1"/>
  <c r="P102" i="6"/>
  <c r="S183" i="9"/>
  <c r="T5" i="6"/>
  <c r="P166" i="17"/>
  <c r="P168" i="17" s="1"/>
  <c r="P170" i="17" s="1"/>
  <c r="S99" i="6"/>
  <c r="P117" i="16"/>
  <c r="S141" i="16"/>
  <c r="T141" i="16" s="1"/>
  <c r="S142" i="15"/>
  <c r="T142" i="15" s="1"/>
  <c r="T100" i="6"/>
  <c r="P6" i="6" l="1"/>
  <c r="P7" i="6" s="1"/>
  <c r="S102" i="6"/>
  <c r="C7" i="6"/>
  <c r="T7" i="6" s="1"/>
  <c r="S166" i="17"/>
  <c r="T166" i="17" s="1"/>
  <c r="S117" i="16"/>
  <c r="T117" i="16" s="1"/>
  <c r="T99" i="6"/>
  <c r="S6" i="6" l="1"/>
  <c r="T102" i="6"/>
  <c r="S168" i="17"/>
  <c r="T168" i="17" s="1"/>
  <c r="S7" i="6" l="1"/>
  <c r="T6" i="6"/>
  <c r="S170" i="17"/>
  <c r="P19" i="3" l="1"/>
  <c r="S19" i="3" s="1"/>
  <c r="C13" i="3"/>
  <c r="C67" i="17" l="1"/>
  <c r="C76" i="17" s="1"/>
  <c r="P13" i="3"/>
  <c r="P31" i="15" s="1"/>
  <c r="P37" i="15" s="1"/>
  <c r="C31" i="15"/>
  <c r="C37" i="15" s="1"/>
  <c r="C13" i="15" s="1"/>
  <c r="C27" i="11" s="1"/>
  <c r="T19" i="3"/>
  <c r="C214" i="9"/>
  <c r="C219" i="9" s="1"/>
  <c r="C237" i="9" s="1"/>
  <c r="C90" i="3"/>
  <c r="S13" i="3" l="1"/>
  <c r="S90" i="3" s="1"/>
  <c r="S5" i="3" s="1"/>
  <c r="P67" i="17"/>
  <c r="P76" i="17" s="1"/>
  <c r="P13" i="15"/>
  <c r="S13" i="15" s="1"/>
  <c r="P214" i="9"/>
  <c r="P219" i="9" s="1"/>
  <c r="P90" i="3"/>
  <c r="P5" i="3" s="1"/>
  <c r="P180" i="9" s="1"/>
  <c r="P198" i="9" s="1"/>
  <c r="C104" i="3"/>
  <c r="C5" i="3"/>
  <c r="P27" i="11"/>
  <c r="S67" i="17" l="1"/>
  <c r="T67" i="17" s="1"/>
  <c r="S214" i="9"/>
  <c r="S219" i="9" s="1"/>
  <c r="S31" i="15"/>
  <c r="T13" i="3"/>
  <c r="W13" i="3" s="1"/>
  <c r="P205" i="9"/>
  <c r="T5" i="3"/>
  <c r="C180" i="9"/>
  <c r="T13" i="15"/>
  <c r="S180" i="9"/>
  <c r="C110" i="3"/>
  <c r="C100" i="3"/>
  <c r="S27" i="11"/>
  <c r="S37" i="15" l="1"/>
  <c r="T37" i="15" s="1"/>
  <c r="T31" i="15"/>
  <c r="D107" i="3"/>
  <c r="S76" i="17"/>
  <c r="T76" i="17" s="1"/>
  <c r="T90" i="3"/>
  <c r="P208" i="9"/>
  <c r="T27" i="11"/>
  <c r="C161" i="9"/>
  <c r="C138" i="16"/>
  <c r="C139" i="15"/>
  <c r="C145" i="15" s="1"/>
  <c r="C22" i="15" s="1"/>
  <c r="C99" i="3"/>
  <c r="P100" i="3"/>
  <c r="C205" i="9"/>
  <c r="C198" i="9"/>
  <c r="S205" i="9"/>
  <c r="S198" i="9"/>
  <c r="C36" i="11" l="1"/>
  <c r="P36" i="11" s="1"/>
  <c r="S36" i="11" s="1"/>
  <c r="S208" i="9"/>
  <c r="C102" i="3"/>
  <c r="C114" i="16"/>
  <c r="C85" i="17"/>
  <c r="C87" i="17" s="1"/>
  <c r="C89" i="17" s="1"/>
  <c r="P99" i="3"/>
  <c r="C208" i="9"/>
  <c r="C145" i="9"/>
  <c r="P145" i="9" s="1"/>
  <c r="P161" i="9"/>
  <c r="S161" i="9" s="1"/>
  <c r="S100" i="3"/>
  <c r="P139" i="15"/>
  <c r="P145" i="15" s="1"/>
  <c r="P22" i="15" s="1"/>
  <c r="P138" i="16"/>
  <c r="T36" i="11" l="1"/>
  <c r="P144" i="16"/>
  <c r="P21" i="16" s="1"/>
  <c r="P18" i="11" s="1"/>
  <c r="C120" i="16"/>
  <c r="C21" i="16"/>
  <c r="C18" i="11" s="1"/>
  <c r="P21" i="17"/>
  <c r="P22" i="17" s="1"/>
  <c r="P35" i="17" s="1"/>
  <c r="P197" i="9"/>
  <c r="P125" i="15"/>
  <c r="P133" i="15" s="1"/>
  <c r="S145" i="9"/>
  <c r="T145" i="9" s="1"/>
  <c r="C197" i="9"/>
  <c r="C206" i="9" s="1"/>
  <c r="C125" i="15"/>
  <c r="C133" i="15" s="1"/>
  <c r="C21" i="15" s="1"/>
  <c r="C168" i="9"/>
  <c r="P168" i="9" s="1"/>
  <c r="S168" i="9" s="1"/>
  <c r="V168" i="9" s="1"/>
  <c r="C21" i="17"/>
  <c r="C22" i="17" s="1"/>
  <c r="S138" i="16"/>
  <c r="S144" i="16" s="1"/>
  <c r="S139" i="15"/>
  <c r="T100" i="3"/>
  <c r="T161" i="9"/>
  <c r="P85" i="17"/>
  <c r="P87" i="17" s="1"/>
  <c r="P89" i="17" s="1"/>
  <c r="S99" i="3"/>
  <c r="P114" i="16"/>
  <c r="P120" i="16" s="1"/>
  <c r="P20" i="16" s="1"/>
  <c r="P102" i="3"/>
  <c r="C6" i="3"/>
  <c r="S145" i="15" l="1"/>
  <c r="T139" i="15"/>
  <c r="T138" i="16"/>
  <c r="C20" i="16"/>
  <c r="S21" i="17"/>
  <c r="S125" i="15"/>
  <c r="S133" i="15" s="1"/>
  <c r="S197" i="9"/>
  <c r="P206" i="9"/>
  <c r="P209" i="9"/>
  <c r="C35" i="17"/>
  <c r="C209" i="9"/>
  <c r="P6" i="3"/>
  <c r="P7" i="3" s="1"/>
  <c r="S102" i="3"/>
  <c r="P22" i="16"/>
  <c r="P17" i="11"/>
  <c r="P19" i="11" s="1"/>
  <c r="T168" i="9"/>
  <c r="C9" i="9"/>
  <c r="P9" i="9" s="1"/>
  <c r="C7" i="3"/>
  <c r="T7" i="3" s="1"/>
  <c r="S85" i="17"/>
  <c r="T85" i="17" s="1"/>
  <c r="S114" i="16"/>
  <c r="T99" i="3"/>
  <c r="P21" i="15"/>
  <c r="C35" i="11"/>
  <c r="C23" i="15"/>
  <c r="S22" i="15" l="1"/>
  <c r="T145" i="15"/>
  <c r="C17" i="11"/>
  <c r="C19" i="11" s="1"/>
  <c r="C22" i="16"/>
  <c r="C9" i="16" s="1"/>
  <c r="P9" i="16" s="1"/>
  <c r="S9" i="16" s="1"/>
  <c r="T9" i="16" s="1"/>
  <c r="S120" i="16"/>
  <c r="T114" i="16"/>
  <c r="S21" i="16"/>
  <c r="T144" i="16"/>
  <c r="S206" i="9"/>
  <c r="S209" i="9"/>
  <c r="S22" i="17"/>
  <c r="T22" i="17" s="1"/>
  <c r="S9" i="9"/>
  <c r="P200" i="9"/>
  <c r="P35" i="11"/>
  <c r="C37" i="11"/>
  <c r="C200" i="9"/>
  <c r="S6" i="3"/>
  <c r="T102" i="3"/>
  <c r="C9" i="15"/>
  <c r="P9" i="15" s="1"/>
  <c r="S9" i="15" s="1"/>
  <c r="S21" i="15"/>
  <c r="P23" i="15"/>
  <c r="S87" i="17"/>
  <c r="T87" i="17" s="1"/>
  <c r="S200" i="9" l="1"/>
  <c r="V9" i="9"/>
  <c r="T22" i="15"/>
  <c r="L9" i="16"/>
  <c r="S20" i="16"/>
  <c r="T120" i="16"/>
  <c r="S18" i="11"/>
  <c r="T21" i="16"/>
  <c r="S35" i="17"/>
  <c r="T9" i="9"/>
  <c r="S35" i="11"/>
  <c r="P37" i="11"/>
  <c r="P41" i="11" s="1"/>
  <c r="S23" i="15"/>
  <c r="T21" i="15"/>
  <c r="T9" i="15"/>
  <c r="L9" i="15"/>
  <c r="S7" i="3"/>
  <c r="T6" i="3"/>
  <c r="S89" i="17"/>
  <c r="C41" i="11"/>
  <c r="T18" i="11" l="1"/>
  <c r="T20" i="16"/>
  <c r="S22" i="16"/>
  <c r="S17" i="11"/>
  <c r="S37" i="11"/>
  <c r="T35" i="11"/>
  <c r="T23" i="15"/>
  <c r="S19" i="11" l="1"/>
  <c r="S41" i="11" s="1"/>
  <c r="T17" i="11"/>
  <c r="T22" i="16"/>
  <c r="T37" i="11"/>
  <c r="T19" i="11" l="1"/>
</calcChain>
</file>

<file path=xl/comments1.xml><?xml version="1.0" encoding="utf-8"?>
<comments xmlns="http://schemas.openxmlformats.org/spreadsheetml/2006/main">
  <authors>
    <author>Smidtné Nagy Terézia</author>
  </authors>
  <commentList>
    <comment ref="C84" authorId="0" shapeId="0">
      <text>
        <r>
          <rPr>
            <b/>
            <sz val="9"/>
            <color indexed="81"/>
            <rFont val="Segoe UI"/>
            <family val="2"/>
            <charset val="238"/>
          </rPr>
          <t>Smidtné Nagy Terézia:</t>
        </r>
        <r>
          <rPr>
            <sz val="9"/>
            <color indexed="81"/>
            <rFont val="Segoe UI"/>
            <family val="2"/>
            <charset val="238"/>
          </rPr>
          <t xml:space="preserve">
porszívó, vérnyomásmérő, mosógép
</t>
        </r>
      </text>
    </comment>
  </commentList>
</comments>
</file>

<file path=xl/comments2.xml><?xml version="1.0" encoding="utf-8"?>
<comments xmlns="http://schemas.openxmlformats.org/spreadsheetml/2006/main">
  <authors>
    <author>Smidtné Nagy Terézia</author>
  </authors>
  <commentList>
    <comment ref="C62" authorId="0" shapeId="0">
      <text>
        <r>
          <rPr>
            <b/>
            <sz val="9"/>
            <color indexed="81"/>
            <rFont val="Segoe UI"/>
            <family val="2"/>
            <charset val="238"/>
          </rPr>
          <t>Smidtné Nagy Terézia:</t>
        </r>
        <r>
          <rPr>
            <sz val="9"/>
            <color indexed="81"/>
            <rFont val="Segoe UI"/>
            <family val="2"/>
            <charset val="238"/>
          </rPr>
          <t xml:space="preserve">
tanfolyam 210, tájházak 20, humán eü 20</t>
        </r>
      </text>
    </comment>
    <comment ref="C84" authorId="0" shapeId="0">
      <text>
        <r>
          <rPr>
            <b/>
            <sz val="9"/>
            <color indexed="81"/>
            <rFont val="Segoe UI"/>
            <family val="2"/>
            <charset val="238"/>
          </rPr>
          <t>Smidtné Nagy Terézia:</t>
        </r>
        <r>
          <rPr>
            <sz val="9"/>
            <color indexed="81"/>
            <rFont val="Segoe UI"/>
            <family val="2"/>
            <charset val="238"/>
          </rPr>
          <t xml:space="preserve">
telefon 50, függöny 500, laptop 200, vászon 500
</t>
        </r>
      </text>
    </comment>
  </commentList>
</comments>
</file>

<file path=xl/sharedStrings.xml><?xml version="1.0" encoding="utf-8"?>
<sst xmlns="http://schemas.openxmlformats.org/spreadsheetml/2006/main" count="4053" uniqueCount="1853">
  <si>
    <t>K1</t>
  </si>
  <si>
    <t>K11</t>
  </si>
  <si>
    <t>K1101</t>
  </si>
  <si>
    <t>Személyi juttatások</t>
  </si>
  <si>
    <t>Készentléti, ügyeleti, helyettesítési díj, túlóra</t>
  </si>
  <si>
    <t>Végkielégítés</t>
  </si>
  <si>
    <t>Jubileumi jutalom</t>
  </si>
  <si>
    <t>Béren kívüli juttatások -cafetéria</t>
  </si>
  <si>
    <t>Ruházati költségtérítés</t>
  </si>
  <si>
    <t>Közlekedési költségtérítés</t>
  </si>
  <si>
    <t>Egyéb költségtérítés</t>
  </si>
  <si>
    <t>Foglalkoztatottak egyéb személyi juttatásai</t>
  </si>
  <si>
    <t>K1102</t>
  </si>
  <si>
    <t>K1104</t>
  </si>
  <si>
    <t>K1105</t>
  </si>
  <si>
    <t>K1107</t>
  </si>
  <si>
    <t>K1108</t>
  </si>
  <si>
    <t>K1109</t>
  </si>
  <si>
    <t>K1110</t>
  </si>
  <si>
    <t>K1113</t>
  </si>
  <si>
    <t>K12</t>
  </si>
  <si>
    <t>K121</t>
  </si>
  <si>
    <t>Választott tisztésviselők juttatásai</t>
  </si>
  <si>
    <t>K122</t>
  </si>
  <si>
    <t>Nem saját foglalkoztatottnak fizetett juttatások</t>
  </si>
  <si>
    <t>K123</t>
  </si>
  <si>
    <t xml:space="preserve">Egyéb külső személyi juttatások </t>
  </si>
  <si>
    <t>K2</t>
  </si>
  <si>
    <t>Munkaadót terhelő járulékok és szociális hozzájárulás</t>
  </si>
  <si>
    <t>szociális hozzáj, rehab. EHO, táppénzh. Egyéb munk.terh.j.</t>
  </si>
  <si>
    <t>K3</t>
  </si>
  <si>
    <t>Dologi kiadások</t>
  </si>
  <si>
    <t>K31</t>
  </si>
  <si>
    <t>Készletbeszerzés</t>
  </si>
  <si>
    <t>K311</t>
  </si>
  <si>
    <t>K312</t>
  </si>
  <si>
    <t>Szakmai anyagok beszerzése</t>
  </si>
  <si>
    <t>Üzemeltetési anyagok beszerzése</t>
  </si>
  <si>
    <t>K32</t>
  </si>
  <si>
    <t>Kommunikációs szolgáltatás</t>
  </si>
  <si>
    <t>K321</t>
  </si>
  <si>
    <t>Informatikai szolgáltatások igénybevétele</t>
  </si>
  <si>
    <t>inf.eszközök kiépítése, telepítése, bérletidíj, jogtiszta szoftverek</t>
  </si>
  <si>
    <t>internet előfizetés, számítógépse oktatásra irányuló szolg.</t>
  </si>
  <si>
    <t>számítástechnikai eszközök javítása, karbantartása</t>
  </si>
  <si>
    <t>K322</t>
  </si>
  <si>
    <t>Egyéb kommunikációs szolgáltatások</t>
  </si>
  <si>
    <t>telefon,telefax,mobil, telefonkártya, műsorközlési jogdíj</t>
  </si>
  <si>
    <t>K33</t>
  </si>
  <si>
    <t>Szolgáltatások kiadásai</t>
  </si>
  <si>
    <t>K331</t>
  </si>
  <si>
    <t>Közüzemi díjak</t>
  </si>
  <si>
    <t>K332</t>
  </si>
  <si>
    <t>Vásárolt élelmezés</t>
  </si>
  <si>
    <t>Pl.Gondozási Központ</t>
  </si>
  <si>
    <t>K333</t>
  </si>
  <si>
    <t>Bérleti és lízing díjak</t>
  </si>
  <si>
    <t>Nem itt kell elszámolni az informatikai eszközök béleti díját</t>
  </si>
  <si>
    <t>K334</t>
  </si>
  <si>
    <t>Kivéve az informatikai eszközök</t>
  </si>
  <si>
    <t>K335</t>
  </si>
  <si>
    <t>Közvetített szolgáltatások</t>
  </si>
  <si>
    <t>változatlan formában továbbértékesítések beszerzési árát kell itt elszámolni Külön az államháztartáson belülre</t>
  </si>
  <si>
    <t>K336</t>
  </si>
  <si>
    <t>Szakmai tevékenységet segítő szolgáltatások</t>
  </si>
  <si>
    <t>K337</t>
  </si>
  <si>
    <t>Egyéb szolgáltatások</t>
  </si>
  <si>
    <t xml:space="preserve">A más rovaton nem szerepeltethető szolgáltatások, raktározás, posta és távközlési szolgáltatás, szállítás, takarítás, mosás, kéményseprés, rovarirtás, pénzügyi, befektetési, biztosítás, </t>
  </si>
  <si>
    <t>K34</t>
  </si>
  <si>
    <t>Kiküldetések, reklám és propagandakiadások</t>
  </si>
  <si>
    <t>K341</t>
  </si>
  <si>
    <t>Kiküldetések kiadásai</t>
  </si>
  <si>
    <t>A foglalkoztatottak és a választott tisztségviselők belfödli és külföldi kiküldetésével kapcsolatos valamennyi  kiadás, utazási,szállás, elszámolható élelmezés, saját gk. használat.</t>
  </si>
  <si>
    <t>K342</t>
  </si>
  <si>
    <t>A tevékenységet bemutató, népszerűsítő, és egyéb ismeretterjesztő célokat szolgáló reklám, marketing, propaganda, hirdetés, közvélemény-kutatások kiadásai</t>
  </si>
  <si>
    <t>K35</t>
  </si>
  <si>
    <t>Különféle befizetések és egyéb dologi kiadások</t>
  </si>
  <si>
    <t>K351</t>
  </si>
  <si>
    <t>Működési célú előzetesen felszámított általános forgalmi adó</t>
  </si>
  <si>
    <t>Beszerzések és kiadások után felszámított ÁFA</t>
  </si>
  <si>
    <t>K352</t>
  </si>
  <si>
    <t>Fizetendő általános forgalmi adó</t>
  </si>
  <si>
    <t xml:space="preserve">K353 </t>
  </si>
  <si>
    <t>Kamatkiadások</t>
  </si>
  <si>
    <t>Minden kamat kiadást itt kell elszámolni-ebből államháztartáson belülre, vagy fedezeti ügyleek kamatkiadásai</t>
  </si>
  <si>
    <t>K354</t>
  </si>
  <si>
    <t>Egyéb pénzügyi műveleket kiadásai</t>
  </si>
  <si>
    <t xml:space="preserve">valuta és deviza átváltása során realizált árfolyamvezsteség, </t>
  </si>
  <si>
    <t>K355</t>
  </si>
  <si>
    <t>Egyéb dologi kiadások</t>
  </si>
  <si>
    <t>könyvek,folyóiratok, napilapok,  inf.eszk.(CD,stb)</t>
  </si>
  <si>
    <t>az étkeztetésről szolgáltatás vásárlásával való gondoskodás</t>
  </si>
  <si>
    <t>Karbantartás, kisjavítási szolgáltatások</t>
  </si>
  <si>
    <t>behajthatatlan előlegek elszámolása, 1, 2 Ft-os érmék kerekítési különbözete, adó, vám, illeték jellegű befizetések amik más rovaton nem számolhatók el, kötelező jellegű díjak, úgy mint út díj, zöldkártya, közbeszerzési díj, ajánlati biztosíték, kötbér, k</t>
  </si>
  <si>
    <t>védő és munkaruha</t>
  </si>
  <si>
    <t>élelmiszer</t>
  </si>
  <si>
    <t>üzemanyag-tűzelőanyag</t>
  </si>
  <si>
    <t>irodaszer nyomtatvány, festék patronok</t>
  </si>
  <si>
    <t>villamosenergia</t>
  </si>
  <si>
    <t>gáz</t>
  </si>
  <si>
    <t>víz</t>
  </si>
  <si>
    <t>Reklám és Propagandakiadások</t>
  </si>
  <si>
    <t>Itt kell elszámolni a bevételek után felszámított ÁFA-t, a fordított adózás szerint fizetendő ÁFA-t (NAV felé befizetendő)</t>
  </si>
  <si>
    <t>Azoknak a szolgáltatásoknak a beszerzési költsége amit egyébként az államháztartásnak kellene ellátni, de államháztartáson kívüli szervezet, személy lát el.( Pl. szociális ellátás, útüzemeltetés, környezetvédelem, egészségügy) Itt kell elszámolni a tervezői, tanácsadói, ügyvédi, jogi, fordítói, közjegyzői, közbeszerzési iroda díjai</t>
  </si>
  <si>
    <t>K3311</t>
  </si>
  <si>
    <t>Kiadások összesen</t>
  </si>
  <si>
    <t>irodaszer nyomtatvány, festék patronok,tisztitószer</t>
  </si>
  <si>
    <t>Minden kamat kiadást itt kell elszámolni-ebből államháztartáson belülre, vagy fedezeti ügyletek kamatkiadásai</t>
  </si>
  <si>
    <t>Választott tisztésviselők juttatásai 1 fő polgármester + 8 fő képviselő</t>
  </si>
  <si>
    <t>üzemanyag, élelmiszer, védő és munkaruha</t>
  </si>
  <si>
    <t>Reklám és Préopagandakiadások</t>
  </si>
  <si>
    <t>Itt kell elszámolni a bevételek után felszámított ÁFA-t, a fordított adózás szerint fizetendő ÁFA-t</t>
  </si>
  <si>
    <t>K4</t>
  </si>
  <si>
    <t>Elláttotak pénzpeli juttatásai</t>
  </si>
  <si>
    <t>K42</t>
  </si>
  <si>
    <t>Családi támogatások</t>
  </si>
  <si>
    <t>K44</t>
  </si>
  <si>
    <t>Betegséggel kapcsolatos (nem tb) ellátások</t>
  </si>
  <si>
    <t>mozgáskorlátozottak támogatása</t>
  </si>
  <si>
    <t>helyi megállapítású ápolási díj</t>
  </si>
  <si>
    <t>helyi megállapítású közgyógyellátás</t>
  </si>
  <si>
    <t>K45</t>
  </si>
  <si>
    <t>Foglalkoztatással, munanélküliséggel kapcsolatos ellátások</t>
  </si>
  <si>
    <t>foglalkoztatást helyettesítő támogatás (Szoctv. 35.§-(1)</t>
  </si>
  <si>
    <t>K46</t>
  </si>
  <si>
    <t>Lakhatással kapcsolatos ellátások</t>
  </si>
  <si>
    <t>lakásfenntartási támogatás (Szoctv. 38.§(1), a,b</t>
  </si>
  <si>
    <t>K48</t>
  </si>
  <si>
    <t>Egyéb nem intézményi ellátások</t>
  </si>
  <si>
    <t>a szoc. törvény, és gyermekvédelmi törvény alapján a helyi önkormányzat által folyósított pénzbeli és természetbeni ellátások</t>
  </si>
  <si>
    <t>időskorúak járadéka Szoctv. 32/B (1)</t>
  </si>
  <si>
    <t>rendszeres szociális segély Szoctv. 37. (1) a-d p</t>
  </si>
  <si>
    <t>átmeneti segély (Szoctv. 45 §)</t>
  </si>
  <si>
    <t>temetési segély (Szoctv. 46 §)</t>
  </si>
  <si>
    <t>egyé önkormányzat rendeletében mállapított juttatás</t>
  </si>
  <si>
    <t>természetben nyújtott rendszeres szoc.s. Szoctv. 47.§(1) a</t>
  </si>
  <si>
    <t>átmeneti segély (Szoctv. 47. §(1) bek.c.pont)</t>
  </si>
  <si>
    <t>temetési segély (Szoctv. 47§(1) bek. d.pont)</t>
  </si>
  <si>
    <t>köztemetés ( Szoctv. 48.§)</t>
  </si>
  <si>
    <t>rászorultságtól függyő normatív kedvezmény (Gyvt. 151.§(5)bek.</t>
  </si>
  <si>
    <t>önkormányzat átal saját hatáskörben adott pénzbeli és természetbeni ellátás</t>
  </si>
  <si>
    <t xml:space="preserve">K5 </t>
  </si>
  <si>
    <t>Egyéb működési célú kiadások</t>
  </si>
  <si>
    <t>K502</t>
  </si>
  <si>
    <t>Elvonások és befizetések</t>
  </si>
  <si>
    <t>normatíva visszafizetés,  eredeti előirányzat nem tervezhető</t>
  </si>
  <si>
    <t>K503</t>
  </si>
  <si>
    <t>K504</t>
  </si>
  <si>
    <t>Működési célú garancia és kezességváll.államháztartáson belülre</t>
  </si>
  <si>
    <t>Működési célú visszatérítendő támogatások, kölcsönök nyújtása államháztartáson belülre</t>
  </si>
  <si>
    <t>K505</t>
  </si>
  <si>
    <t>Működési célú visszatéritendő támogatások, kölcsönök törlesztése államháztartáson belülre</t>
  </si>
  <si>
    <t>K506</t>
  </si>
  <si>
    <t>Egyéb működési támogatások államháztartáson belülre</t>
  </si>
  <si>
    <t>az államháztartáson belüli szervezetk számára működési célból végleges jelleggel nyútott támogatásokat és más ellenérték nélküli kifizeéskeket, a központi, irányitó szervi támogatás</t>
  </si>
  <si>
    <t>K507</t>
  </si>
  <si>
    <t>Működési célú garancia és kezességváll.államháztartáson kívülre (külön ki kell mutatnio az állami vagy önkormányzati tualjonban lévő gazdasági társaságok tartozásai miatti kifizetéseket</t>
  </si>
  <si>
    <t>K508</t>
  </si>
  <si>
    <t>Működési célú visszatérítendő támogatások, kölcsönök nyújtása államháztartáson kívűlre  Visszafizetési kötelezettség mellett működési célból nyújtott támogatásokat, kölcsönöket kell itt elszámolni</t>
  </si>
  <si>
    <t>K6</t>
  </si>
  <si>
    <t>Beruházások</t>
  </si>
  <si>
    <t>K61</t>
  </si>
  <si>
    <t>Immateriális javak beszerzése,létesítése</t>
  </si>
  <si>
    <t>K62</t>
  </si>
  <si>
    <t>Ingatlanok beszerzése létesítése</t>
  </si>
  <si>
    <t>külön a termőföld vásárlása</t>
  </si>
  <si>
    <t>K63</t>
  </si>
  <si>
    <t>Informatikai eszközök beszerzése, létesítése</t>
  </si>
  <si>
    <t>K64</t>
  </si>
  <si>
    <t>Egyéb tárgyi eszközök beszerzése, létesítése</t>
  </si>
  <si>
    <t>K65</t>
  </si>
  <si>
    <t>Részesedések beszerzése</t>
  </si>
  <si>
    <t>K67</t>
  </si>
  <si>
    <t>Beruházási célő előzetesen felszámított ÁFA</t>
  </si>
  <si>
    <t>K7</t>
  </si>
  <si>
    <t>Felújítások</t>
  </si>
  <si>
    <t>K71</t>
  </si>
  <si>
    <t>Ingatlanok felújítása</t>
  </si>
  <si>
    <t>K72</t>
  </si>
  <si>
    <t>Informatikai eszközök felújítása</t>
  </si>
  <si>
    <t>K73</t>
  </si>
  <si>
    <t>Egyéb tárgyi eszközök felújítása</t>
  </si>
  <si>
    <t>K74</t>
  </si>
  <si>
    <t>Felújítások ÁFA</t>
  </si>
  <si>
    <t>K8</t>
  </si>
  <si>
    <t>Egyéb felhalmozási célú kiadások</t>
  </si>
  <si>
    <t>K81</t>
  </si>
  <si>
    <t>Felhalmozási célú garancia- és kezességváll. származó kifizetések államháztartáson belül</t>
  </si>
  <si>
    <t>K82</t>
  </si>
  <si>
    <t>Felhalmozási célú visszatérítendő támogatások, kölcsönök nyújtása államháztartáson belülre</t>
  </si>
  <si>
    <t>K83</t>
  </si>
  <si>
    <t>Felhalmozási célő visszatérítendő támogatások, kölcsönök törlesztése államháztartáson belülre</t>
  </si>
  <si>
    <t>K84</t>
  </si>
  <si>
    <t>Egyéb felhalmozási célú támogatások államháztartáson belülre</t>
  </si>
  <si>
    <t>K85</t>
  </si>
  <si>
    <t>Felhalmozási célú garancial és kezességvállalásból származó kifizetések államháztartáson kívülre</t>
  </si>
  <si>
    <t>K86</t>
  </si>
  <si>
    <t>Felhalmozási célú visszatéritendő támogatások, kölcsönök nyújtása államháztartáson kívülre</t>
  </si>
  <si>
    <t>K87</t>
  </si>
  <si>
    <t>Lakástámogatás</t>
  </si>
  <si>
    <t>K88</t>
  </si>
  <si>
    <t>Egyéb felhalmozási célú támogatások államháztartáson kívülre</t>
  </si>
  <si>
    <t>K9</t>
  </si>
  <si>
    <t>Finanszírozási kiadások</t>
  </si>
  <si>
    <t>K91</t>
  </si>
  <si>
    <t>Belföldi finanszírozás kiadásai</t>
  </si>
  <si>
    <t>K911</t>
  </si>
  <si>
    <t>Hitel,- kölcsöntörlesztés államháztartáson kívülre</t>
  </si>
  <si>
    <t>K9111</t>
  </si>
  <si>
    <t>Hosszú lejáratú hitelek, kölcsönök törlesztése</t>
  </si>
  <si>
    <t>K9112</t>
  </si>
  <si>
    <t>Likvidiatású célú hitelek, kölcsönök törlesztése pénzügyi vállalkozásnak</t>
  </si>
  <si>
    <t>itt kell elszámolni a folyószámla, rulírozó, munkabér-megelőlegezési hitelek, kölcsönök tőketörlesztését</t>
  </si>
  <si>
    <t>K9113</t>
  </si>
  <si>
    <t>Rövid lejáratú hitelek, kölcsönök törlesztése</t>
  </si>
  <si>
    <t>költségvetési éven belülre felvett hitelek, kölcsönök törlesztése, kivéve a likviditási célú hitelek</t>
  </si>
  <si>
    <t>K912</t>
  </si>
  <si>
    <t>Belföldi értékpapírok kiadásai</t>
  </si>
  <si>
    <t>K9121</t>
  </si>
  <si>
    <t>Forgatási célú belföldi értékpapírok vásárlása</t>
  </si>
  <si>
    <t>K9122</t>
  </si>
  <si>
    <t>K9123</t>
  </si>
  <si>
    <t>Befektetési célú belföldi értékpaprok beváltása</t>
  </si>
  <si>
    <t>Befektetési célú belföldi értékpapírok vásárlása</t>
  </si>
  <si>
    <t>K9124</t>
  </si>
  <si>
    <t>Befektetési célú belföldi értékpapírok beváltása</t>
  </si>
  <si>
    <t xml:space="preserve">K913 </t>
  </si>
  <si>
    <t>Államháztartáson belüli megelőlegezések folyósítása</t>
  </si>
  <si>
    <t>K914</t>
  </si>
  <si>
    <t>Államháztartáson belüli megelőlegezések visszafizetése</t>
  </si>
  <si>
    <t>Itt kell elszámolni a decemberi bérekre kapott előleget</t>
  </si>
  <si>
    <t>K915</t>
  </si>
  <si>
    <t>Központi, irányitó szervi támogatás folyósítása</t>
  </si>
  <si>
    <t>Itt kell elszámolni az intézmények finanszírozását</t>
  </si>
  <si>
    <t>K916</t>
  </si>
  <si>
    <t>Pénzeszközök betétként elhelyezése</t>
  </si>
  <si>
    <t>K917</t>
  </si>
  <si>
    <t>Pénzügyi lízing kiadásai</t>
  </si>
  <si>
    <t>K918</t>
  </si>
  <si>
    <t>Központi költségvetés sajátos finanszírozása</t>
  </si>
  <si>
    <t>K92</t>
  </si>
  <si>
    <t>Külföldi finanszírozás kiadásai</t>
  </si>
  <si>
    <t>B1</t>
  </si>
  <si>
    <t>Működési célú támogatások államháztartáson belülről</t>
  </si>
  <si>
    <t>B11</t>
  </si>
  <si>
    <t>Önkormányzatok működési támogatása</t>
  </si>
  <si>
    <t>B111</t>
  </si>
  <si>
    <t>B112</t>
  </si>
  <si>
    <t>B113</t>
  </si>
  <si>
    <t>B114</t>
  </si>
  <si>
    <t>B115</t>
  </si>
  <si>
    <t>Működési célú központosított előirányzatok</t>
  </si>
  <si>
    <t>B116</t>
  </si>
  <si>
    <t>Helyi önkormányzatok kiegészítő támogatásai</t>
  </si>
  <si>
    <t>B12</t>
  </si>
  <si>
    <t>Elvonások és befizetések bevételei</t>
  </si>
  <si>
    <t>B13</t>
  </si>
  <si>
    <t>Működési célú garancia és kezességvállalásból származó megtérülések államháztartáson belülről</t>
  </si>
  <si>
    <t>B14</t>
  </si>
  <si>
    <t>Működési célú visszatérítendő támogatások, kölcsönök visszatérülése államháztartáson belűlről</t>
  </si>
  <si>
    <t>B15</t>
  </si>
  <si>
    <t>Működési célú  visszatérítendő támogatások igénybevétele államháztartáson belülről</t>
  </si>
  <si>
    <t>B16</t>
  </si>
  <si>
    <t>B2</t>
  </si>
  <si>
    <t>Felhalmozási célú támogatások államháztartáson belülről</t>
  </si>
  <si>
    <t>B21</t>
  </si>
  <si>
    <t>B22</t>
  </si>
  <si>
    <t>B23</t>
  </si>
  <si>
    <t>Felhalmozási célú visszatéritendő támogatások, kölcsönök visszatérülése államháztartáson belülről</t>
  </si>
  <si>
    <t>B24</t>
  </si>
  <si>
    <t>B25</t>
  </si>
  <si>
    <t>B3</t>
  </si>
  <si>
    <t>Közhatalmi bevételek</t>
  </si>
  <si>
    <t>B34</t>
  </si>
  <si>
    <t>Vagyoni típusú adók</t>
  </si>
  <si>
    <t>építményadó, telekadó</t>
  </si>
  <si>
    <t>B35</t>
  </si>
  <si>
    <t>Termékek és szolgáltatások adói</t>
  </si>
  <si>
    <t>B351</t>
  </si>
  <si>
    <t>Értékesítési és forgalmi adó</t>
  </si>
  <si>
    <t>általános forgalmi adó</t>
  </si>
  <si>
    <t>B354</t>
  </si>
  <si>
    <t>B36</t>
  </si>
  <si>
    <t>Egyéb közhatalmi bevételek</t>
  </si>
  <si>
    <t>a közhatalmi tevékenység gyakorlása során kötelező jelleggel kell megfizetni, mint pénzbüntetés, elkobzás, késedelmi és önellenőrzési pótlék</t>
  </si>
  <si>
    <t>B4</t>
  </si>
  <si>
    <t>Működési bevételek</t>
  </si>
  <si>
    <t>B401</t>
  </si>
  <si>
    <t>B402</t>
  </si>
  <si>
    <t>Szolgáltatások ellenértéke</t>
  </si>
  <si>
    <t>B403</t>
  </si>
  <si>
    <t>Közvetített szolgáltatások ellenértéke</t>
  </si>
  <si>
    <t>elkülönítve az államháztartáson belül</t>
  </si>
  <si>
    <t>B404</t>
  </si>
  <si>
    <t>Tulajdonosi bevételek</t>
  </si>
  <si>
    <t>vagyonkezelésbe, haszonbérbe, használatba, üzemeltetésbe adásból származó bevételeket kell itt elszámolni</t>
  </si>
  <si>
    <t>B405</t>
  </si>
  <si>
    <t>Ellátási díjak</t>
  </si>
  <si>
    <t>itt kell elszámolni a bölcsődei, szociális intézeti ellátás, szociális étkeztetés, gondozási dj, tanulók, hallgatók által fizetettt költségtérítéséből, díjakból származó bevételek</t>
  </si>
  <si>
    <t>B406</t>
  </si>
  <si>
    <t>Kiszámlázott általános forgalmi adó</t>
  </si>
  <si>
    <t>B407</t>
  </si>
  <si>
    <t>Általános forgalmi adó visszatérítése</t>
  </si>
  <si>
    <t>adóhatóságtól visszakapott</t>
  </si>
  <si>
    <t>B408</t>
  </si>
  <si>
    <t>Kamatbevételek</t>
  </si>
  <si>
    <t>B409</t>
  </si>
  <si>
    <t>Egyéb pénzügyi műveletek</t>
  </si>
  <si>
    <t>realizált árfolyamnyereség, befektetett pénzügyi eszközök eladási árából származó többlet bevételeket</t>
  </si>
  <si>
    <t>Egyéb működési bevételek</t>
  </si>
  <si>
    <t xml:space="preserve">Ezen a rovaton kell elszámolni a más rovaton nem szerepeltethető működési jellegű bevételeket, kerekítési különbözetet, pénztártöbblet, </t>
  </si>
  <si>
    <t>B5</t>
  </si>
  <si>
    <t>Felhalmozási bevételek</t>
  </si>
  <si>
    <t>B51</t>
  </si>
  <si>
    <t>Immateriális javak értékesítése</t>
  </si>
  <si>
    <t>B52</t>
  </si>
  <si>
    <t>Ingatlanok értékesítése</t>
  </si>
  <si>
    <t>B53</t>
  </si>
  <si>
    <t>Egyéb tárgyi eszközök értékesítése</t>
  </si>
  <si>
    <t>B54</t>
  </si>
  <si>
    <t>Részesedések értékesítése</t>
  </si>
  <si>
    <t>B6</t>
  </si>
  <si>
    <t>Működési célú átvett pénzeszközök</t>
  </si>
  <si>
    <t>B61</t>
  </si>
  <si>
    <t>Működési célú garancia és kezességvállalásból származó megtérülések államháztartáson kívülről</t>
  </si>
  <si>
    <t>B62</t>
  </si>
  <si>
    <t>Működési célú cisszatérítendő támogatások, kölcsönök visszatérülése államháztartáson kívülről</t>
  </si>
  <si>
    <t>Egyéb működési célú átvett pénzeszközök</t>
  </si>
  <si>
    <t>B7</t>
  </si>
  <si>
    <t>Felhalmozási célú átvett pénzeszközök</t>
  </si>
  <si>
    <t>B71</t>
  </si>
  <si>
    <t>Felhalmozási célú garancia és kezességvállalásbóül származó megtérülések államháztartáson kívülről</t>
  </si>
  <si>
    <t>B72</t>
  </si>
  <si>
    <t>Felhalmozási célú visszatérítendő támogatások, kölcsönök visszatérülése államháztartáson kívülről</t>
  </si>
  <si>
    <t>Egyéb felhalmozási célú átvett pénzeszközök</t>
  </si>
  <si>
    <t>B8</t>
  </si>
  <si>
    <t>Finanszírozási bevételek</t>
  </si>
  <si>
    <t>B81</t>
  </si>
  <si>
    <t>Belföldi finanszírozás bevételei</t>
  </si>
  <si>
    <t>B811</t>
  </si>
  <si>
    <t>Hitel-,kölcsönfelvétel államháztartáson kívülről</t>
  </si>
  <si>
    <t>B8111</t>
  </si>
  <si>
    <t>Hosszú lejáratú hitelek, kölcsönök felvétele</t>
  </si>
  <si>
    <t>B8112</t>
  </si>
  <si>
    <t>Likviditási céllú hitelek, kölcsönök felvétele pénzügyi vállalkozástól</t>
  </si>
  <si>
    <t>B8113</t>
  </si>
  <si>
    <t>Rövid lejáratú hitelek, kölcsönök felvétele</t>
  </si>
  <si>
    <t>B812</t>
  </si>
  <si>
    <t>Belföldi értékpapirok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</si>
  <si>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</si>
  <si>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</si>
  <si>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</si>
  <si>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</si>
  <si>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</si>
  <si>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</si>
  <si>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</si>
  <si>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Államháztartáson belüli megelőlegezések</t>
  </si>
  <si>
    <t>B815</t>
  </si>
  <si>
    <t>Államháztartáson belüli megelőlegezések törlesztése</t>
  </si>
  <si>
    <t>Központi ,irányító szervi támogatás</t>
  </si>
  <si>
    <t>itt kell az intézménynek a finanszírozási bevételét elsz.</t>
  </si>
  <si>
    <t>B816</t>
  </si>
  <si>
    <t>B817</t>
  </si>
  <si>
    <t>Betétek megszüntetése</t>
  </si>
  <si>
    <t>Törvény szerinti illetmények, munkabérek</t>
  </si>
  <si>
    <t>Azoknak a szolgáltatásoknak a beszerzési költsége amit egyébként az államháztartásnak kellene ellátni, de államháztartáson kívüli szervezet, személy lát el.( Pl. szociális ellátás, útüzemeltetés, környezetvédelem, egészségügy) Itt kell elszámolni a tervez</t>
  </si>
  <si>
    <t>könyvek,folyóiratok, napilapok,  inf.eszk.(CD,stb)gyógyszer</t>
  </si>
  <si>
    <t>irodaszer nyomtatvány, festék patronok, tűzelőanyag,tisztitószer</t>
  </si>
  <si>
    <t>pénzbeli és természetbeni gyermekvédelmi támogatások,rendszeres gyermekvédelmi kedvezményben részesülők pénzpeli támogatása (Gyvt.20/A,) kiegészítő gyermekvédelmi támogatás (Gyvt 20/B), óvodáztatási támogatás, rendkivüli gyermekvédelmi támogatás, helyi megállapítású</t>
  </si>
  <si>
    <t>Egyéb működési támogatások államháztartáson kívülre</t>
  </si>
  <si>
    <t>Működési jelleggel véglegesen adott támogatások, adományok</t>
  </si>
  <si>
    <t>K512</t>
  </si>
  <si>
    <t>Tartalékok</t>
  </si>
  <si>
    <t>Megnevezés</t>
  </si>
  <si>
    <t>Bevételek összesen</t>
  </si>
  <si>
    <t>Rovat</t>
  </si>
  <si>
    <t>BEVÉTELEK</t>
  </si>
  <si>
    <t>KIADÁSOK</t>
  </si>
  <si>
    <t>K5</t>
  </si>
  <si>
    <t>BEVÉTELEK ÖSSZESEN</t>
  </si>
  <si>
    <t>KIADÁSOK ÖSSZESEN</t>
  </si>
  <si>
    <t>KIADÁS ÖSSZESEN</t>
  </si>
  <si>
    <t>Vezetői pótlék</t>
  </si>
  <si>
    <t>ebrendészeti hozzájárulás, építésügyi bírság,szabálysértési pénz és helyszíni bírság, a közlekedési szabályszegések után az önkormányhatot megillető rész, mezőőri járulék</t>
  </si>
  <si>
    <r>
      <t>Készentléti, ügyeleti, helyettesítési díj, túlóra,</t>
    </r>
    <r>
      <rPr>
        <u/>
        <sz val="10"/>
        <rFont val="Arial"/>
        <family val="2"/>
        <charset val="238"/>
      </rPr>
      <t xml:space="preserve"> pótlék</t>
    </r>
  </si>
  <si>
    <t>Bérpótlék</t>
  </si>
  <si>
    <t>Helyi önkormányzatok működési támogatása (Általános támogatás)</t>
  </si>
  <si>
    <t>Egyéb működési célú támogatások bevételei államháztartáson belülről (OEP vődőnők,közfogl., mezőőr)</t>
  </si>
  <si>
    <t>B75</t>
  </si>
  <si>
    <t>K1106</t>
  </si>
  <si>
    <t>Tárgyi eszközök beszerzése</t>
  </si>
  <si>
    <t>Központi, irányítószervi támogatás</t>
  </si>
  <si>
    <t>B411</t>
  </si>
  <si>
    <t>Központi, irányító szervi támogatás</t>
  </si>
  <si>
    <t>K513</t>
  </si>
  <si>
    <t>B16-01</t>
  </si>
  <si>
    <t>Egyéb működési támogatás</t>
  </si>
  <si>
    <t>Tárgyi eszközök bérbeadásából származó bevétel</t>
  </si>
  <si>
    <t>B16-02</t>
  </si>
  <si>
    <t>B16-03</t>
  </si>
  <si>
    <t>B16-04</t>
  </si>
  <si>
    <t>Egyéb működési célú átvett pénzeszközök (Tám. visszafizetése)</t>
  </si>
  <si>
    <t>Egyéb műk. c. tám. elkülönített állami pénzalaptól</t>
  </si>
  <si>
    <t>Működési c. támogatások államháztartáson belülről</t>
  </si>
  <si>
    <t>25 fő  óvonő 0,5 fő gyógyp., 12  fő dajka 4 fő ped.aszisztens , 1óvoda titkár</t>
  </si>
  <si>
    <t xml:space="preserve">Törvény szerinti illetmények, munkabérek </t>
  </si>
  <si>
    <t>működési bevételek nincsenek</t>
  </si>
  <si>
    <t>helyi iparűzési adó</t>
  </si>
  <si>
    <t>Gépjárműadók</t>
  </si>
  <si>
    <t>Összes növelendő</t>
  </si>
  <si>
    <t>Összes csökkentendő</t>
  </si>
  <si>
    <t>előirányzat(ok) változása</t>
  </si>
  <si>
    <t>előirányzatok változása összesen</t>
  </si>
  <si>
    <r>
      <t xml:space="preserve">előirányzatok változása </t>
    </r>
    <r>
      <rPr>
        <b/>
        <u/>
        <sz val="8"/>
        <rFont val="Arial"/>
        <family val="2"/>
        <charset val="238"/>
      </rPr>
      <t>eredetihez</t>
    </r>
    <r>
      <rPr>
        <b/>
        <sz val="8"/>
        <rFont val="Arial"/>
        <family val="2"/>
        <charset val="238"/>
      </rPr>
      <t xml:space="preserve"> képest</t>
    </r>
  </si>
  <si>
    <t>FELHASZNÁLÁS</t>
  </si>
  <si>
    <t>ELŐIRÁNYZAT</t>
  </si>
  <si>
    <t>EGYENLEGÜK</t>
  </si>
  <si>
    <t>kontroll</t>
  </si>
  <si>
    <t>Települési önkormányzatok egyes köznevelési feladatainak támogatása</t>
  </si>
  <si>
    <t>Települési önkormányzatok szociális és gyermekjóléti feladatainak támogatása</t>
  </si>
  <si>
    <t>Települési önkormányzatok kulturális feladatainak támogatása</t>
  </si>
  <si>
    <t>Felhalmozási célú visszatérítendő támogatások, kölcsönök igénybevétele államháztartáson belülről</t>
  </si>
  <si>
    <t>REALIZÁLÁS</t>
  </si>
  <si>
    <t>%-ban</t>
  </si>
  <si>
    <t>Ft-ban</t>
  </si>
  <si>
    <r>
      <t xml:space="preserve">előirányzatok változása az </t>
    </r>
    <r>
      <rPr>
        <b/>
        <u/>
        <sz val="9"/>
        <rFont val="Arial"/>
        <family val="2"/>
        <charset val="238"/>
      </rPr>
      <t>eredetihez</t>
    </r>
    <r>
      <rPr>
        <b/>
        <sz val="8"/>
        <rFont val="Arial"/>
        <family val="2"/>
        <charset val="238"/>
      </rPr>
      <t xml:space="preserve"> képest</t>
    </r>
  </si>
  <si>
    <t>rovat</t>
  </si>
  <si>
    <t>BEVÉTELEI</t>
  </si>
  <si>
    <t>KIADÁSAI</t>
  </si>
  <si>
    <t>GÓLYAHÍR BÖLCSŐDE</t>
  </si>
  <si>
    <t>POLGÁRMESTERI HIVATAL</t>
  </si>
  <si>
    <t>Wass Albert Művelődési Központ és Könyvtár</t>
  </si>
  <si>
    <t>Központi Konyha</t>
  </si>
  <si>
    <t>finanszírozási kiadások</t>
  </si>
  <si>
    <t>pótelőirányzat</t>
  </si>
  <si>
    <t>beruházások</t>
  </si>
  <si>
    <t>felújítások</t>
  </si>
  <si>
    <t>K1,2,3</t>
  </si>
  <si>
    <t>K1,2,3-n túli</t>
  </si>
  <si>
    <t>szumma</t>
  </si>
  <si>
    <t>Polg.Mest.Hiv. nélküli finanszírozási kiadások munkalapokból</t>
  </si>
  <si>
    <t xml:space="preserve">ÖSSZESEN </t>
  </si>
  <si>
    <r>
      <t xml:space="preserve">ÖSSZESEN </t>
    </r>
    <r>
      <rPr>
        <b/>
        <i/>
        <u/>
        <sz val="10"/>
        <color rgb="FFFF0000"/>
        <rFont val="Arial"/>
        <family val="2"/>
        <charset val="238"/>
      </rPr>
      <t>eltérés</t>
    </r>
    <r>
      <rPr>
        <i/>
        <sz val="10"/>
        <color rgb="FFFF0000"/>
        <rFont val="Arial"/>
        <family val="2"/>
        <charset val="238"/>
      </rPr>
      <t>e</t>
    </r>
  </si>
  <si>
    <t>FINANSZÍROZÁSI KIADÁSOK ELTÉRÉSE</t>
  </si>
  <si>
    <r>
      <t xml:space="preserve">fenti tánla és munkalapok </t>
    </r>
    <r>
      <rPr>
        <b/>
        <i/>
        <u/>
        <sz val="9"/>
        <color rgb="FFFF0000"/>
        <rFont val="Arial"/>
        <family val="2"/>
        <charset val="238"/>
      </rPr>
      <t>eltérés</t>
    </r>
    <r>
      <rPr>
        <i/>
        <sz val="9"/>
        <color rgb="FFFF0000"/>
        <rFont val="Arial"/>
        <family val="2"/>
        <charset val="238"/>
      </rPr>
      <t>e</t>
    </r>
  </si>
  <si>
    <r>
      <t xml:space="preserve">Polg.Mest.Hiv. nélküli </t>
    </r>
    <r>
      <rPr>
        <b/>
        <i/>
        <u/>
        <sz val="9"/>
        <color rgb="FFFF0000"/>
        <rFont val="Arial"/>
        <family val="2"/>
        <charset val="238"/>
      </rPr>
      <t>eltérés</t>
    </r>
  </si>
  <si>
    <t>munkalapokról PMH-lel együtt összesen</t>
  </si>
  <si>
    <t>ennyi eltérés van benn</t>
  </si>
  <si>
    <t>korrekció intézményeknél megjelenő finanszírozás miatt</t>
  </si>
  <si>
    <t>ÖSSZESEN</t>
  </si>
  <si>
    <t>intézményi finanszírozás miatti korrekció</t>
  </si>
  <si>
    <t>korrekciós tétel lesz az összesítőben</t>
  </si>
  <si>
    <t>KIADÁSI SEGÉDTÁBLA</t>
  </si>
  <si>
    <t>Felhalmozási célú tám-ok államházt-on belülről</t>
  </si>
  <si>
    <t>Működési célú tám-ok államháztartáson belülről</t>
  </si>
  <si>
    <t>technikai sor</t>
  </si>
  <si>
    <t>B8-ból előző évi mardvány igénybevétele</t>
  </si>
  <si>
    <t>Munkaadót terhelő járulékok és szoc. hozzáj.</t>
  </si>
  <si>
    <t>Gondozási Központ</t>
  </si>
  <si>
    <t>WAMKK</t>
  </si>
  <si>
    <t>Polgármesteri Hivatal</t>
  </si>
  <si>
    <t>Gólyahír Bölcsőde</t>
  </si>
  <si>
    <t>B8-ból maradványértéken túli finanszírozási bevételek</t>
  </si>
  <si>
    <t>EGYENLEG</t>
  </si>
  <si>
    <t>Csicsergő Napköziotthonos Óvoda</t>
  </si>
  <si>
    <t>Gólyahír Bőlcsőde</t>
  </si>
  <si>
    <t>BEVÉTELI SEGÉDTÁBLA</t>
  </si>
  <si>
    <t>B63</t>
  </si>
  <si>
    <t>Dr. Gáspár István HSZK</t>
  </si>
  <si>
    <t>Egyéb működési bevételek és kapott kamatok</t>
  </si>
  <si>
    <t>B411,B408</t>
  </si>
  <si>
    <t>SÜLYSÁPI CSICSERGŐ ÓVODA</t>
  </si>
  <si>
    <t>Egyéb működési bevételek, Egyéb kapott kamat</t>
  </si>
  <si>
    <t>Egyéb tárgyi eszközök beszerzése + ÁFA</t>
  </si>
  <si>
    <t xml:space="preserve">Választott tisztésviselők juttatásai </t>
  </si>
  <si>
    <t xml:space="preserve"> </t>
  </si>
  <si>
    <r>
      <t>Felhalmozási célú garancia és kezességvállalásból származó</t>
    </r>
    <r>
      <rPr>
        <sz val="8"/>
        <color theme="1"/>
        <rFont val="Arial"/>
        <family val="2"/>
        <charset val="238"/>
      </rPr>
      <t xml:space="preserve"> minek a </t>
    </r>
    <r>
      <rPr>
        <b/>
        <sz val="10"/>
        <color theme="1"/>
        <rFont val="Arial"/>
        <family val="2"/>
        <charset val="238"/>
      </rPr>
      <t>megtérülése államháztartáson belülről</t>
    </r>
  </si>
  <si>
    <t>Dr Gáspár HSZK</t>
  </si>
  <si>
    <t>Sülysápi Csicsergő Óvoda</t>
  </si>
  <si>
    <t>Sülysáp Város Önkormányzata</t>
  </si>
  <si>
    <t>Önkormányzatnál kapott támogatás (B113)</t>
  </si>
  <si>
    <t>Önkormányzatnál kapott támogatás (B112)</t>
  </si>
  <si>
    <t>Önkormányzatnál kapott támogatás (B111)</t>
  </si>
  <si>
    <t>2018. ÉV KÖLTSÉGVETÉS</t>
  </si>
  <si>
    <r>
      <rPr>
        <b/>
        <sz val="12"/>
        <rFont val="Arial"/>
        <family val="2"/>
        <charset val="238"/>
      </rPr>
      <t>Eredeti</t>
    </r>
    <r>
      <rPr>
        <b/>
        <sz val="10"/>
        <rFont val="Arial"/>
        <family val="2"/>
        <charset val="238"/>
      </rPr>
      <t xml:space="preserve"> előirányzat 2018.01.01</t>
    </r>
  </si>
  <si>
    <r>
      <rPr>
        <b/>
        <sz val="9"/>
        <rFont val="Arial"/>
        <family val="2"/>
        <charset val="238"/>
      </rPr>
      <t xml:space="preserve">Módosított előirányzat </t>
    </r>
    <r>
      <rPr>
        <b/>
        <sz val="12"/>
        <rFont val="Arial"/>
        <family val="2"/>
        <charset val="238"/>
      </rPr>
      <t>2018.06.30</t>
    </r>
  </si>
  <si>
    <r>
      <t xml:space="preserve">Módosított előirányzat </t>
    </r>
    <r>
      <rPr>
        <b/>
        <sz val="12"/>
        <rFont val="Arial"/>
        <family val="2"/>
        <charset val="238"/>
      </rPr>
      <t>2018.09.30</t>
    </r>
  </si>
  <si>
    <r>
      <t xml:space="preserve">Módosított előirányzat </t>
    </r>
    <r>
      <rPr>
        <b/>
        <sz val="12"/>
        <rFont val="Arial"/>
        <family val="2"/>
        <charset val="238"/>
      </rPr>
      <t>2018.12.31</t>
    </r>
  </si>
  <si>
    <r>
      <rPr>
        <b/>
        <sz val="12"/>
        <rFont val="Arial"/>
        <family val="2"/>
        <charset val="238"/>
      </rPr>
      <t>2018.06.30</t>
    </r>
    <r>
      <rPr>
        <b/>
        <sz val="14"/>
        <rFont val="Arial"/>
        <family val="2"/>
        <charset val="238"/>
      </rPr>
      <t>-ig</t>
    </r>
    <r>
      <rPr>
        <b/>
        <sz val="10"/>
        <rFont val="Arial"/>
        <family val="2"/>
        <charset val="238"/>
      </rPr>
      <t xml:space="preserve"> tényleges realizálás</t>
    </r>
  </si>
  <si>
    <t>2018.09.30-ig tényleges realizálás</t>
  </si>
  <si>
    <t>2018.12.31-ig tényleges realizálás</t>
  </si>
  <si>
    <r>
      <t>2018.06.30-i realizálás</t>
    </r>
    <r>
      <rPr>
        <b/>
        <u/>
        <sz val="8"/>
        <rFont val="Arial"/>
        <family val="2"/>
        <charset val="238"/>
      </rPr>
      <t xml:space="preserve"> eredeti</t>
    </r>
    <r>
      <rPr>
        <b/>
        <sz val="8"/>
        <rFont val="Arial"/>
        <family val="2"/>
        <charset val="238"/>
      </rPr>
      <t xml:space="preserve"> előir-hoz képest</t>
    </r>
  </si>
  <si>
    <r>
      <t xml:space="preserve">2018.09.30-i realizálás </t>
    </r>
    <r>
      <rPr>
        <b/>
        <u/>
        <sz val="8"/>
        <rFont val="Arial"/>
        <family val="2"/>
        <charset val="238"/>
      </rPr>
      <t>2018.06.30-i módosított</t>
    </r>
    <r>
      <rPr>
        <b/>
        <sz val="8"/>
        <rFont val="Arial"/>
        <family val="2"/>
        <charset val="238"/>
      </rPr>
      <t xml:space="preserve"> előir-hoz képest</t>
    </r>
  </si>
  <si>
    <r>
      <t xml:space="preserve">2018.12.31-i realizálás </t>
    </r>
    <r>
      <rPr>
        <b/>
        <u/>
        <sz val="8"/>
        <rFont val="Arial"/>
        <family val="2"/>
        <charset val="238"/>
      </rPr>
      <t>2018.09.30-i módosított</t>
    </r>
    <r>
      <rPr>
        <b/>
        <sz val="8"/>
        <rFont val="Arial"/>
        <family val="2"/>
        <charset val="238"/>
      </rPr>
      <t xml:space="preserve"> előir-hoz képest</t>
    </r>
  </si>
  <si>
    <r>
      <t xml:space="preserve">a </t>
    </r>
    <r>
      <rPr>
        <b/>
        <u val="singleAccounting"/>
        <sz val="10"/>
        <rFont val="Arial"/>
        <family val="2"/>
        <charset val="238"/>
      </rPr>
      <t>2018.06.30-i</t>
    </r>
    <r>
      <rPr>
        <b/>
        <sz val="10"/>
        <rFont val="Arial"/>
        <family val="2"/>
        <charset val="238"/>
      </rPr>
      <t xml:space="preserve"> az eredetihez képest</t>
    </r>
  </si>
  <si>
    <t>a 2018.09.30-i a 2018.06.30-ihoz képest</t>
  </si>
  <si>
    <t>a 2018.12.31-i a 2018.09.30-ihoz képest</t>
  </si>
  <si>
    <r>
      <rPr>
        <b/>
        <sz val="12"/>
        <rFont val="Arial"/>
        <family val="2"/>
        <charset val="238"/>
      </rPr>
      <t>2018.06.30</t>
    </r>
    <r>
      <rPr>
        <b/>
        <sz val="14"/>
        <rFont val="Arial"/>
        <family val="2"/>
        <charset val="238"/>
      </rPr>
      <t>-ig</t>
    </r>
    <r>
      <rPr>
        <b/>
        <sz val="10"/>
        <rFont val="Arial"/>
        <family val="2"/>
        <charset val="238"/>
      </rPr>
      <t xml:space="preserve"> tényleges felhasználás</t>
    </r>
  </si>
  <si>
    <t>2018.09.30-ig tényleges felhasználás</t>
  </si>
  <si>
    <t>2018.12.31-ig tényleges felhasználás</t>
  </si>
  <si>
    <r>
      <t>2018.06.30-i felhasználás</t>
    </r>
    <r>
      <rPr>
        <b/>
        <u/>
        <sz val="8"/>
        <rFont val="Arial"/>
        <family val="2"/>
        <charset val="238"/>
      </rPr>
      <t xml:space="preserve"> eredeti</t>
    </r>
    <r>
      <rPr>
        <b/>
        <sz val="8"/>
        <rFont val="Arial"/>
        <family val="2"/>
        <charset val="238"/>
      </rPr>
      <t xml:space="preserve"> előir-hoz képest</t>
    </r>
  </si>
  <si>
    <r>
      <t xml:space="preserve">2018.12.31-i felhasználás </t>
    </r>
    <r>
      <rPr>
        <b/>
        <u/>
        <sz val="8"/>
        <rFont val="Arial"/>
        <family val="2"/>
        <charset val="238"/>
      </rPr>
      <t>2018.09.30-i módosított</t>
    </r>
    <r>
      <rPr>
        <b/>
        <sz val="8"/>
        <rFont val="Arial"/>
        <family val="2"/>
        <charset val="238"/>
      </rPr>
      <t xml:space="preserve"> előir-hoz képest</t>
    </r>
  </si>
  <si>
    <r>
      <t xml:space="preserve">2018.09.30-i felhasználás </t>
    </r>
    <r>
      <rPr>
        <b/>
        <u/>
        <sz val="8"/>
        <rFont val="Arial"/>
        <family val="2"/>
        <charset val="238"/>
      </rPr>
      <t>2018.06.30-i módosított</t>
    </r>
    <r>
      <rPr>
        <b/>
        <sz val="8"/>
        <rFont val="Arial"/>
        <family val="2"/>
        <charset val="238"/>
      </rPr>
      <t xml:space="preserve"> előir-hoz képest</t>
    </r>
  </si>
  <si>
    <t>B113 (III.2. A települési önkormányzatok
szociális feladatainak egyéb
támogatása)</t>
  </si>
  <si>
    <t>Önkormányzatnál kapott támogatás (házi segítségnyújtás, időskorúak nap el., szoc étk) (B113)</t>
  </si>
  <si>
    <t>2017.</t>
  </si>
  <si>
    <t>2018.</t>
  </si>
  <si>
    <t>Áru és készletértékesítés ellenértéke</t>
  </si>
  <si>
    <t>Elláttotak pénzbeli juttatásai</t>
  </si>
  <si>
    <t>Sülysáp Város Önkormányzata és Intézményei</t>
  </si>
  <si>
    <t>Sülysáp Város Önkormányzata és intézményei</t>
  </si>
  <si>
    <t>Önkormányzatnál a kapott támogatás (B114)</t>
  </si>
  <si>
    <t>Önkormányzat önerőből adott támogatásása</t>
  </si>
  <si>
    <t>B408, B411</t>
  </si>
  <si>
    <t>Kamatbevételek, Egyéb működési bevételek</t>
  </si>
  <si>
    <t>B402, B405</t>
  </si>
  <si>
    <r>
      <t>Egyéb felhalmozási célú támogatások bevételei államháztartáson belülről</t>
    </r>
    <r>
      <rPr>
        <b/>
        <sz val="8"/>
        <rFont val="Arial"/>
        <family val="2"/>
        <charset val="238"/>
      </rPr>
      <t xml:space="preserve"> </t>
    </r>
  </si>
  <si>
    <t>Önkormányzatnál kapott támogatás (B112) (októberi felmérés)</t>
  </si>
  <si>
    <t>A központi költségvetésből támogatásként rendelkezésre bocsátott összeg</t>
  </si>
  <si>
    <t>Az önkormányzat által az adott célra ténylegesen felhasznált összeg</t>
  </si>
  <si>
    <t>Az önkormányzat által fel nem használt, de a következő évben jogszerűen felhasználható összeg</t>
  </si>
  <si>
    <t>Eltérés (=3-4-5)</t>
  </si>
  <si>
    <t>01</t>
  </si>
  <si>
    <t>2. melléklet I.5. A 2017. évről áthúzódó bérkompenzáció támogatása</t>
  </si>
  <si>
    <t>02</t>
  </si>
  <si>
    <t>2. melléklet I.6. Polgármesteri illetmény támogatása</t>
  </si>
  <si>
    <t>03</t>
  </si>
  <si>
    <t>2. melléklet III.1. Szociális ágazati  összevont pótlék</t>
  </si>
  <si>
    <t>04</t>
  </si>
  <si>
    <t>2. melléklet III.2. A települési önkormányzatok szociális feladatainak egyéb támogatása</t>
  </si>
  <si>
    <t>05</t>
  </si>
  <si>
    <t>2. melléklet IV.1.a) Megyei hatókörű városi múzeumok feladatainak támogatása</t>
  </si>
  <si>
    <t>06</t>
  </si>
  <si>
    <t>2. melléklet IV.1.b) Megyei hatókörű városi könyvtárak feladatainak támogatása</t>
  </si>
  <si>
    <t>07</t>
  </si>
  <si>
    <t>2. melléklet IV.1.c) Megyeszékhely megyei jogú városok és Szentendre Város Önkormányzata közművelődési feladatainak támogatása</t>
  </si>
  <si>
    <t>08</t>
  </si>
  <si>
    <t>2. melléklet IV.1.d) Települési önkormányzatok nyilvános könyvtári és közművelődési feladatainak támogatása</t>
  </si>
  <si>
    <t>09</t>
  </si>
  <si>
    <t>2. melléklet IV.1.e) Települési önkormányzatok muzeális intézményi feladatainak támogatása</t>
  </si>
  <si>
    <t>10</t>
  </si>
  <si>
    <t>2. melléklet IV.1.f) Budapest Főváros Önkormányzata múzeumi, könyvtári és közművelődési feladatainak támogatása</t>
  </si>
  <si>
    <t>11</t>
  </si>
  <si>
    <t>2. melléklet IV.1.g) Fővárosi kerületi önkormányzatok közművelődési feladatainak támogatása</t>
  </si>
  <si>
    <t>12</t>
  </si>
  <si>
    <t>2. melléklet IV.1.h) Megyei könyvtár kistelepülési könyvtári célú kiegészítő támogatása</t>
  </si>
  <si>
    <t>13</t>
  </si>
  <si>
    <t>2. melléklet IV.1.i) A települési önkormányzatok könyvtári célú érdekeltségnövelő támogatása</t>
  </si>
  <si>
    <t>14</t>
  </si>
  <si>
    <t>2. melléklet IV.1. Könyvtári, közművelődési és múzeumi feladatok támogatása (5+…+13)</t>
  </si>
  <si>
    <t>15</t>
  </si>
  <si>
    <t>2. melléklet IV.2.a) Színházművészeti szervezetek támogatása</t>
  </si>
  <si>
    <t>16</t>
  </si>
  <si>
    <t>2. melléklet IV.2.b)  Táncművészeti szervezetek támogatása</t>
  </si>
  <si>
    <t>17</t>
  </si>
  <si>
    <t>2. melléklet IV.2.c)  Zeneművészeti szervezetek támogatása</t>
  </si>
  <si>
    <t>18</t>
  </si>
  <si>
    <t>Helyi önkormányzatok által fenntartott, illetve támogatott előadó-művészeti szervezetek támogatása  (=15+...+17)</t>
  </si>
  <si>
    <t>19</t>
  </si>
  <si>
    <t>2. melléklet IV.3. Kulturális illetménypótlék</t>
  </si>
  <si>
    <t>20</t>
  </si>
  <si>
    <t>3. melléklet I.1. Lakossági víz- és csatornaszolgáltatás támogatása</t>
  </si>
  <si>
    <t>21</t>
  </si>
  <si>
    <t>3. melléklet I.2. A kéményseprő-ipari közszolgáltatás helyi önkormányzat általi ellátásának támogatása</t>
  </si>
  <si>
    <t>22</t>
  </si>
  <si>
    <t>3. melléklet I.3. Pécs Megyei Jogú Város Önkormányzat kulturális feladatainak támogatása</t>
  </si>
  <si>
    <t>23</t>
  </si>
  <si>
    <t>3. melléklet I.4. A kötelezően ellátandó helyi közösségi közlekedési feladat támogatása</t>
  </si>
  <si>
    <t>24</t>
  </si>
  <si>
    <t>3. melléklet I.5. A települési önkormányzatok helyi közösségi közlekedésének támogatása</t>
  </si>
  <si>
    <t>25</t>
  </si>
  <si>
    <t>3. melléklet I.6. Jó adatszolgáltató önkormányzatok támogatása</t>
  </si>
  <si>
    <t>26</t>
  </si>
  <si>
    <t>3. melléklet I.7. Megyei önkormányzatok rendkívüli támogatása</t>
  </si>
  <si>
    <t>27</t>
  </si>
  <si>
    <t>3. melléklet I.8. A nem közművel összegyűjtött háztartási szennyvíz ideiglenes begyűjtésére kijelölt közérdekű közszolgáltató meg nem térülő költségeinek támogatása</t>
  </si>
  <si>
    <t>28</t>
  </si>
  <si>
    <t>3. melléklet I.9. A települési önkormányzatok szociális célú tüzelőanyag vásárlásához kapcsolódó támogatása</t>
  </si>
  <si>
    <t>29</t>
  </si>
  <si>
    <t>3. melléklet I.10.a) Önkormányzatok rendkívüli támogatása</t>
  </si>
  <si>
    <t>30</t>
  </si>
  <si>
    <t>3. melléklet I.10.b) A tartósan fizetésképtelen helyzetbe került helyi önkormányzatok adósságrendezésére irányuló hitelfelvétel visszterhes kamattámogatása, a pénzügyi gondnok díja</t>
  </si>
  <si>
    <t>31</t>
  </si>
  <si>
    <t>3. melléklet I.11. cf) A prémiumévek programról és a különleges foglalkoztatási állományról szóló 2004. évi CXXII. törvény szerinti tárgyévi munkáltatói kifizetések</t>
  </si>
  <si>
    <t>32</t>
  </si>
  <si>
    <t>3. melléklet I.11. d) 2017. évi költségvetési törvény II.10. Normafa Park kiemelt beruházás támogatása 2018. évi kifizetése</t>
  </si>
  <si>
    <t>33</t>
  </si>
  <si>
    <t>3. melléklet I.11.e) Lakossági közműfejlesztés támogatása</t>
  </si>
  <si>
    <t>34</t>
  </si>
  <si>
    <t>3. melléklet I.11.f) Pénzbeli szociális ellátások kiegészítése</t>
  </si>
  <si>
    <t>35</t>
  </si>
  <si>
    <t>3. melléklet I.11.g) EU Önerő Alap</t>
  </si>
  <si>
    <t>36</t>
  </si>
  <si>
    <t>3. melléklet I. Helyi önkormányzatok működési célú költségvetési támogatásai összesen (20+….+ 35)</t>
  </si>
  <si>
    <t>37</t>
  </si>
  <si>
    <t>3. melléklet II.1. Kompok, révek fenntartásának, felújításának támogatása</t>
  </si>
  <si>
    <t>38</t>
  </si>
  <si>
    <t>3. melléklet II.2.a) Kötelező önkormányzati feladatot ellátó intézmények fejlesztése, felújítása</t>
  </si>
  <si>
    <t>39</t>
  </si>
  <si>
    <t>3. melléklet II.2.b) Óvodai, iskolai és utánpótlás sport infrastruktúra-fejlesztés felújítás</t>
  </si>
  <si>
    <t>40</t>
  </si>
  <si>
    <t>3. melléklet II.2.c) Belterületi utak, járdák, hidak felújítása</t>
  </si>
  <si>
    <t>41</t>
  </si>
  <si>
    <t>3. melléklet II.3. Önkormányzati étkeztetési fejlesztések támogatása</t>
  </si>
  <si>
    <t>42</t>
  </si>
  <si>
    <t>3. melléklet II.4.a) Közművelődési érdekeltségnövelő támogatás</t>
  </si>
  <si>
    <t>43</t>
  </si>
  <si>
    <t>3. melléklet II.4.b) Járásszékhely múzeumok szakmai támogatása</t>
  </si>
  <si>
    <t>44</t>
  </si>
  <si>
    <t>3. melléklet II.4.c) Muzeális intézmények szakmai támogatása (Kubinyi Ágoston Program)</t>
  </si>
  <si>
    <t>45</t>
  </si>
  <si>
    <t>3. melléklet II.5. Ózdi martinsalak felhasználása miatt kárt szenvedett lakóépületek tulajdonosainak kártalanítása</t>
  </si>
  <si>
    <t>46</t>
  </si>
  <si>
    <t>3. melléklet II.7. Pannon Park beruházási projekt támogatása</t>
  </si>
  <si>
    <t>47</t>
  </si>
  <si>
    <t>3. melléklet II.8. Békásmegyeri vásárcsarnok építése</t>
  </si>
  <si>
    <t>48</t>
  </si>
  <si>
    <t>3. melléklet II.9. Veszprém Aréna építési beruházásával összefüggő tőke- és kamattörlesztő-részletek átvállalásának támogatása</t>
  </si>
  <si>
    <t>49</t>
  </si>
  <si>
    <t>3. melléklet II.10. Normafa Park kiemelt beruházás támogatása</t>
  </si>
  <si>
    <t>50</t>
  </si>
  <si>
    <t>3. melléklet II.12. A 2015. évi Milánói Világkiállítás magyar pavilonjának újjáépítése Karcagon</t>
  </si>
  <si>
    <t>51</t>
  </si>
  <si>
    <t>3. melléklet II.13. Kistarcsai Emlékhely és Könyvtár létrehozása a kommunista diktatúra idején internáló- és kényszermunkatáborként, illetve hadifogolytáborként működtetett létesítmények egykori helyszínén.</t>
  </si>
  <si>
    <t>52</t>
  </si>
  <si>
    <t>3. melléklet II. Helyi önkormányzatok felhalmozási célú költségvetési támogatásai összesen (37+…+51)</t>
  </si>
  <si>
    <t>53</t>
  </si>
  <si>
    <t>4. cím A vörösberényi kolostoregyüttessel kapcsolatos feladatok támogatása</t>
  </si>
  <si>
    <t>54</t>
  </si>
  <si>
    <t>5. cím Önkormányzatok feladatainak 2016. évi döntés szerinti támogatása I.</t>
  </si>
  <si>
    <t>55</t>
  </si>
  <si>
    <t>6. cím Önkormányzatok feladatainak 2016. évi döntés szerinti támogatása II.</t>
  </si>
  <si>
    <t>56</t>
  </si>
  <si>
    <t>7. cím Önkormányzatok feladatainak 2016. évi döntés szerinti támogatása III.</t>
  </si>
  <si>
    <t>57</t>
  </si>
  <si>
    <t>8. cím Önkormányzatok feladatainak 2016. évi döntés szerinti támogatása IV.</t>
  </si>
  <si>
    <t>58</t>
  </si>
  <si>
    <t>10. cím Abasár település vízrendezési feladatainak megvalósítása</t>
  </si>
  <si>
    <t>59</t>
  </si>
  <si>
    <t>11. cím Tata Város támogatása a karsztvízszint emelkedés okozta azonnali intézkedést igénylő feladatok végrehajtásához</t>
  </si>
  <si>
    <t>60</t>
  </si>
  <si>
    <t>12. cím Hermina Garázs előkészítésével kapcsolatos feladatok támogatása</t>
  </si>
  <si>
    <t>61</t>
  </si>
  <si>
    <t>13. cím Helyi érdekű települési fejlesztések I.</t>
  </si>
  <si>
    <t>62</t>
  </si>
  <si>
    <t>14. cím Helyi érdekű települési fejlesztések II.</t>
  </si>
  <si>
    <t>63</t>
  </si>
  <si>
    <t>16. cím Kenderes Város Önkormányzata tulajdonában állló egyes ingatlanok felújításának támogatása</t>
  </si>
  <si>
    <t>64</t>
  </si>
  <si>
    <t>17. cím Helyi érdekű települési fejlesztések III.</t>
  </si>
  <si>
    <t>65</t>
  </si>
  <si>
    <t>18. cím Székesfehérvár Megyei Jogú Város Önkormányzata kulturális fejlesztési feladatainak támogatása</t>
  </si>
  <si>
    <t>66</t>
  </si>
  <si>
    <t>19. cím Bicske Város Önkormányzata hivatali épület beruházásának támogatása</t>
  </si>
  <si>
    <t>67</t>
  </si>
  <si>
    <t>20. cím Csólyospálos Község Önkormányzata fejlesztéseinek támogatása</t>
  </si>
  <si>
    <t>68</t>
  </si>
  <si>
    <t>21. cím Fülöpszállás Község Önkormányzata fejlesztéseinek támogatása</t>
  </si>
  <si>
    <t>69</t>
  </si>
  <si>
    <t>22. cím Gátér Község Önkormányzata fejlesztéseinek támogatása</t>
  </si>
  <si>
    <t>70</t>
  </si>
  <si>
    <t>23. cím Jakabszállás Község Önkormányzata fejlesztéseinek támogatása</t>
  </si>
  <si>
    <t>71</t>
  </si>
  <si>
    <t>24. cím Kömpöc Község Önkormányzata fejlesztéseinek támogatása</t>
  </si>
  <si>
    <t>72</t>
  </si>
  <si>
    <t>26. cím Nyárlőrinc Község Önkormányzata fejlesztéseinek támogatása</t>
  </si>
  <si>
    <t>73</t>
  </si>
  <si>
    <t>27. cím Pálmonostora Község Önkormányzata fejlesztéseinek támogatása</t>
  </si>
  <si>
    <t>74</t>
  </si>
  <si>
    <t>28. cím Tiszaug Község Önkormányzata fejlesztéseinek támogatása</t>
  </si>
  <si>
    <t>75</t>
  </si>
  <si>
    <t>29. cím Az önkormányzati ASP rendszer működtetésének támogatása</t>
  </si>
  <si>
    <t>76</t>
  </si>
  <si>
    <t>30. cím Csokvaomány Község Önkormányzata konyha korszerűsítésének és útfelújítási feladatainak támogatása</t>
  </si>
  <si>
    <t>77</t>
  </si>
  <si>
    <t>31. cím Normafa Park beruházás 2017. évi üteméhez kapcsolódó egyes kisajátítási költségek támogatása</t>
  </si>
  <si>
    <t>78</t>
  </si>
  <si>
    <t>32. cím Budapest X. kerület, Hős utca 15/A-B szám alatti ingatlan helyzetének rendezése</t>
  </si>
  <si>
    <t>79</t>
  </si>
  <si>
    <t>34. cím Tomajmonostora Község fejlesztési feladatainak támogatása</t>
  </si>
  <si>
    <t>80</t>
  </si>
  <si>
    <t>35. cím Tiszaszőlős Község fejlesztési feladatainak támogatása</t>
  </si>
  <si>
    <t>81</t>
  </si>
  <si>
    <t>36. cím Tiszaörs Község fejlesztési feladatainak támogatása</t>
  </si>
  <si>
    <t>82</t>
  </si>
  <si>
    <t>37. cím Tiszaszentimre Község fejlesztési feladatainak támogatása</t>
  </si>
  <si>
    <t>83</t>
  </si>
  <si>
    <t>38. cím Tiszaigar Község fejlesztési feladatainak támogatása</t>
  </si>
  <si>
    <t>84</t>
  </si>
  <si>
    <t>39. cím Tiszaderzs Község fejlesztési feladatainak támogatása</t>
  </si>
  <si>
    <t>85</t>
  </si>
  <si>
    <t>40. cím Budapest III. Kerület parkfejlesztések támogatása</t>
  </si>
  <si>
    <t>86</t>
  </si>
  <si>
    <t>41. cím Mezőcsát Város fejlesztési feladatainak támogatása</t>
  </si>
  <si>
    <t>87</t>
  </si>
  <si>
    <t>42. cím Ónod Község fejlesztési feladatainak támogatása</t>
  </si>
  <si>
    <t>88</t>
  </si>
  <si>
    <t>43. cím Tiszabábolna Község fejlesztési feladatainak támogatása</t>
  </si>
  <si>
    <t>89</t>
  </si>
  <si>
    <t>44. cím Az Önkormányzati feladatellátást szolgáló fejlesztések előirányzatból forráshiány miatt támogatásban nem részesült pályázatok támogatása</t>
  </si>
  <si>
    <t>90</t>
  </si>
  <si>
    <t>45. cím Nagykőrös Város feladatellátásának támogatása</t>
  </si>
  <si>
    <t>91</t>
  </si>
  <si>
    <t>46. cím Borsodgeszt Község feladatellátásának támogatása</t>
  </si>
  <si>
    <t>92</t>
  </si>
  <si>
    <t>47. cím A költségvetési szerveknél foglalkoztatottak 2018. évi bérkompenzációja</t>
  </si>
  <si>
    <t>93</t>
  </si>
  <si>
    <t>50. cím Szociális ágazatban kifizetésre kerülő egészségügyi kiegészítő pótlékhoz nyújtott támogatás</t>
  </si>
  <si>
    <t>94</t>
  </si>
  <si>
    <t>51. cím Bölcsődei kiegészítő támogatás</t>
  </si>
  <si>
    <t>95</t>
  </si>
  <si>
    <t>52. cím Csanádpalota Város működési feladatainak támogatása</t>
  </si>
  <si>
    <t>96</t>
  </si>
  <si>
    <t>54. cím Nemzetiségi pótlék</t>
  </si>
  <si>
    <t>97</t>
  </si>
  <si>
    <t>55. cím A Budapest XXIII. ker. Grassalkovich út 3. szám alatti társasházi ingatlanban bekövetkezett károk következményeinek enyhítése</t>
  </si>
  <si>
    <t>98</t>
  </si>
  <si>
    <t>56. cím Egyes Települési Önkormányzatok feladatainak támogatása</t>
  </si>
  <si>
    <t>99</t>
  </si>
  <si>
    <t>57. cím Göd Város infrastrukturális fejlesztéséhez kapcsolódó beruházási feladatok 2018</t>
  </si>
  <si>
    <t>100</t>
  </si>
  <si>
    <t>58. cím Monor Város Önkormányzat feladatainak támogatása</t>
  </si>
  <si>
    <t>101</t>
  </si>
  <si>
    <t>59. cím Pécs Megyei Jogú Város Közbiztonságának javítása</t>
  </si>
  <si>
    <t>102</t>
  </si>
  <si>
    <t>60. cím Nagyvenyim Nagyközség fejlesztési feladatainak támogatása</t>
  </si>
  <si>
    <t>103</t>
  </si>
  <si>
    <t>61. cím Települési önkormányzatok feladatellátásának támogatása</t>
  </si>
  <si>
    <t>104</t>
  </si>
  <si>
    <t>62. cím Kunszentmiklós Város feladatainak támogatása</t>
  </si>
  <si>
    <t>105</t>
  </si>
  <si>
    <t>63. cím Szentes Város kulturális fejlesztési célú támogatása</t>
  </si>
  <si>
    <t>106</t>
  </si>
  <si>
    <t>64. cím A települési önkormányzatok 2017. évi szociális célú tüzelőanyag vásárlásához kapcsolódó kiegészítő támogatása</t>
  </si>
  <si>
    <t>107</t>
  </si>
  <si>
    <t>65. cím A téli rezsicsökkentés kiterjesztése a kiépített gázhálózattal nem rendelkező településeknél</t>
  </si>
  <si>
    <t>108</t>
  </si>
  <si>
    <t>66. cím Vajszló Nagyközség infrastruktúra fejlesztése</t>
  </si>
  <si>
    <t>109</t>
  </si>
  <si>
    <t>67. cím A hatvani sport- és rendezvénycsarnok beruházás támogatása</t>
  </si>
  <si>
    <t>110</t>
  </si>
  <si>
    <t>68. cím Csabdi Község Önkormányzata iskolabővítési beruházásának támogatása</t>
  </si>
  <si>
    <t>111</t>
  </si>
  <si>
    <t>69. cím Felcsút Község Önkormányzata bölcsődei férőhely kialakításának támogatása</t>
  </si>
  <si>
    <t>112</t>
  </si>
  <si>
    <t>70. cím Martonvásár Város Önkormányzat Brunszvik-terv keretében megvalósuló fejlesztésének támogatása</t>
  </si>
  <si>
    <t>113</t>
  </si>
  <si>
    <t>71. cím Göd Város Önkormányzata egyes fejlesztéseinek támogatása</t>
  </si>
  <si>
    <t>114</t>
  </si>
  <si>
    <t>72. cím Makó Város Termál- és Gyógyfürdő (Hagymatikum) fejlesztése</t>
  </si>
  <si>
    <t>115</t>
  </si>
  <si>
    <t>73. cím A Normafa Park kiemelt beruházás 2018. évi támogatása</t>
  </si>
  <si>
    <t>116</t>
  </si>
  <si>
    <t>74. cím Mosonmagyaróvár északi tehermentesítő út építésének előkészítése</t>
  </si>
  <si>
    <t>117</t>
  </si>
  <si>
    <t>75. cím Debrecen Nagycsere és Haláp településrészei ivóvízhálózatának fejlesztése</t>
  </si>
  <si>
    <t>118</t>
  </si>
  <si>
    <t>76. cím Vászoly Község Önkormányzata kulturális célú beruházásának támogatása</t>
  </si>
  <si>
    <t>119</t>
  </si>
  <si>
    <t>77. cím Kunszentmiklós Város Önkormányzata kötelező feladata ellátásának támogatása</t>
  </si>
  <si>
    <t>120</t>
  </si>
  <si>
    <t>78. cím Lenti Város fejlesztésének támogatása</t>
  </si>
  <si>
    <t>121</t>
  </si>
  <si>
    <t>79. cím Helyi önkormányzatok egyes beruházásainak támogatása</t>
  </si>
  <si>
    <t>122</t>
  </si>
  <si>
    <t>80. cím Egyes települési önkormányzatok működési és fejlesztési támogatása</t>
  </si>
  <si>
    <t>123</t>
  </si>
  <si>
    <t>81. cím A téli rezsicsökkentésben korábban nem részesült, a vezetékes gáz- vagy távfűtéstől eltérő fűtőanyagot használó háztartások egyszeri támogatása</t>
  </si>
  <si>
    <t>124</t>
  </si>
  <si>
    <t>82. cím Debrecen Megyei Jogú Város Önkormányzata közműfejlesztési feladatainak támogatása</t>
  </si>
  <si>
    <t>125</t>
  </si>
  <si>
    <t>Mindösszesen (=1+2+3+4+14+18+19+36+52+…+124)</t>
  </si>
  <si>
    <t>Költségvetési törvény alapján feladatátvétellel/feladatátadással korrigált támogatás</t>
  </si>
  <si>
    <t>Támogatás évközi változása - Május 15.</t>
  </si>
  <si>
    <t>Támogatás évközi változása - Október 5.</t>
  </si>
  <si>
    <t>Tényleges támogatás</t>
  </si>
  <si>
    <t>Évvégi eltérés (+,-) mutatószám szerinti támogatás (=6-(3+4+5))</t>
  </si>
  <si>
    <t>A 05. űrlap alapján a támogatási jogcímhez kapcsolódó kormányzati funkció szerinti kiadások összege</t>
  </si>
  <si>
    <t>Az önkormányzat által az adott célra december 31-ig ténylegesen felhasznált összeg</t>
  </si>
  <si>
    <t>Többlettámogatás (ha a 7-6+9 &gt;0, akkor 7-6+9; egyébként 0)</t>
  </si>
  <si>
    <t>Visszafizetési kötelezettség (ha a 7-6+9 &lt;0, akkor 7-6+9 abszolútértéke; egyébként 0)</t>
  </si>
  <si>
    <t>I.1. A települési  önkormányzatok működésének támogatása 09 01 01 01 00</t>
  </si>
  <si>
    <t>I.2. Nem közművel összegyűjtött háztartási szennyvíz ártalmatlanítása 09 01 01 02 00</t>
  </si>
  <si>
    <t>I.3. Határátkelőhelyek fenntartásának támogatása 09 01 01 03 00</t>
  </si>
  <si>
    <t>I.4. Megyei önkormányzatok feladatainak támogatása 09 01 01 04 00</t>
  </si>
  <si>
    <t>II. A települési önkormányzatok egyes köznevelési feladatainak támogatása 09 01 02 00 00</t>
  </si>
  <si>
    <t>III.3. Egyes szociális és gyermekjóléti feladatok támogatása 09 01 03 03 00</t>
  </si>
  <si>
    <t>III.4. A települési önkormányzatok által biztosított egyes szociális szakosított ellátások, valamint a gyermekek átmeneti gondozásával kapcsolatos feladatok támogatása 09 01 03 04 00</t>
  </si>
  <si>
    <t>III.5. Intézményi gyermekétkeztetés támogatása 09 01 03 05 00</t>
  </si>
  <si>
    <t>III.6. Rászoruló gyermekek szünidei étkeztetése 09 01 03 06 00</t>
  </si>
  <si>
    <t>III.7. Bölcsőde, mini bölcsőde támogatása 09 01 03 07 00</t>
  </si>
  <si>
    <t>Összesen  (=1+…+10)</t>
  </si>
  <si>
    <t>Előző időszak</t>
  </si>
  <si>
    <t>Módosítások (+/-)</t>
  </si>
  <si>
    <t>Tárgyi időszak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</si>
  <si>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</si>
  <si>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</si>
  <si>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</si>
  <si>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</si>
  <si>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</si>
  <si>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</si>
  <si>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</si>
  <si>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</si>
  <si>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</si>
  <si>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 (=A/II/1+...+A/II/5)</t>
  </si>
  <si>
    <t>A/III/1 Tartós részesedések (=A/III/1a+…+A/III/1e)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</si>
  <si>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</si>
  <si>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</si>
  <si>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</si>
  <si>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</si>
  <si>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A/III/1e - ebből: egyéb tartós részesedések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</si>
  <si>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</si>
  <si>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</si>
  <si>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</si>
  <si>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</si>
  <si>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</si>
  <si>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</si>
  <si>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</si>
  <si>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</si>
  <si>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</si>
  <si>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</si>
  <si>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</si>
  <si>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</si>
  <si>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</si>
  <si>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</si>
  <si>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</si>
  <si>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</si>
  <si>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>B/I/5 Növendék-, hízó és egyéb állatok</t>
  </si>
  <si>
    <t>B/I Készletek (=B/I/1+…+B/I/5)</t>
  </si>
  <si>
    <t>B/II/1 Nem tartós részesedések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</si>
  <si>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</si>
  <si>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</si>
  <si>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</si>
  <si>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</si>
  <si>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</si>
  <si>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</si>
  <si>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</si>
  <si>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</si>
  <si>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</si>
  <si>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</si>
  <si>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 Lekötött bankbetétek (=C/I/1+…+C/I/2)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</si>
  <si>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</si>
  <si>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</si>
  <si>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</si>
  <si>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</si>
  <si>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</si>
  <si>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</si>
  <si>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</si>
  <si>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</si>
  <si>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</si>
  <si>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</si>
  <si>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</si>
  <si>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</si>
  <si>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</si>
  <si>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</si>
  <si>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</si>
  <si>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</si>
  <si>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</si>
  <si>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</si>
  <si>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</si>
  <si>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</si>
  <si>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</si>
  <si>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</si>
  <si>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</si>
  <si>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</si>
  <si>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</si>
  <si>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</si>
  <si>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</si>
  <si>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</si>
  <si>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D/I/4f - ebből: költségvetési évben esedékes követelések kamatbevételekre és más nyereségjellegű bevételekre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</si>
  <si>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</si>
  <si>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</si>
  <si>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</si>
  <si>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</si>
  <si>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</si>
  <si>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</si>
  <si>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</si>
  <si>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</si>
  <si>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</si>
  <si>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</si>
  <si>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</si>
  <si>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</si>
  <si>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</si>
  <si>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</si>
  <si>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</si>
  <si>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</si>
  <si>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</si>
  <si>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</si>
  <si>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</si>
  <si>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</si>
  <si>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</si>
  <si>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</si>
  <si>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</si>
  <si>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</si>
  <si>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</si>
  <si>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</si>
  <si>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</si>
  <si>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</si>
  <si>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</si>
  <si>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</si>
  <si>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</si>
  <si>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</si>
  <si>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</si>
  <si>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</si>
  <si>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</si>
  <si>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</si>
  <si>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</si>
  <si>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</si>
  <si>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</si>
  <si>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</si>
  <si>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</si>
  <si>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</si>
  <si>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</si>
  <si>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D/II/4f - ebből: költségvetési évet követően esedékes követelések kamatbevételekre és más nyereségjellegű bevételekre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</si>
  <si>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</si>
  <si>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</si>
  <si>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</si>
  <si>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</si>
  <si>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</si>
  <si>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</si>
  <si>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126</t>
  </si>
  <si>
    <t>D/II/5c - ebből: költségvetési évet követően esedékes követelések egyéb tárgyi eszközök értékesítésére</t>
  </si>
  <si>
    <t>127</t>
  </si>
  <si>
    <t>D/II/5d - ebből: költségvetési évet követően esedékes követelések részesedések értékesítésére</t>
  </si>
  <si>
    <t>128</t>
  </si>
  <si>
    <t>D/II/5e - ebből: költségvetési évet követően esedékes követelések részesedések megszűnéséhez kapcsolódó bevételekre</t>
  </si>
  <si>
    <t>129</t>
  </si>
  <si>
    <t>D/II/6 Költségvetési évet követően esedékes követelések működési célú átvett pénzeszközre (&gt;=D/II/6a+D/II/6b+D/II/6c)</t>
  </si>
  <si>
    <t>130</t>
  </si>
  <si>
    <t>D/II/6a - ebből: költségvetési évet követően esedékes követelések működési célú visszatérítendő támogatások, kölcsönök visszatérülése az Európai Uniótól</t>
  </si>
  <si>
    <t>131</t>
  </si>
  <si>
    <t>D/II/6b - ebből: költségvetési évet követően esedékes követelések működési célú visszatérítendő támogatások, kölcsönök visszatérülése kormányoktól és más nemzetközi szervezetektől</t>
  </si>
  <si>
    <t>132</t>
  </si>
  <si>
    <t>D/II/6c - ebből: költségvetési évet követően esedékes követelések működési célú visszatérítendő támogatások, kölcsönök visszatérülésére államháztartáson kívülről</t>
  </si>
  <si>
    <t>133</t>
  </si>
  <si>
    <t>D/II/7 Költségvetési évet követően esedékes követelések felhalmozási célú átvett pénzeszközre (&gt;=D/II/7a+D/II/7b+D/II/7c)</t>
  </si>
  <si>
    <t>134</t>
  </si>
  <si>
    <t>D/II/7a - ebből: költségvetési évet követően esedékes követelések felhalmozási célú visszatérítendő támogatások, kölcsönök visszatérülése az Európai Uniótól</t>
  </si>
  <si>
    <t>135</t>
  </si>
  <si>
    <t>D/II/7b - ebből: költségvetési évet követően esedékes követelések felhalmozási célú visszatérítendő támogatások, kölcsönök visszatérülése kormányoktól és más nemzetközi szervezetektől</t>
  </si>
  <si>
    <t>136</t>
  </si>
  <si>
    <t>D/II/7c - ebből: költségvetési évet követően esedékes követelések felhalmozási célú visszatérítendő támogatások, kölcsönök visszatérülésére államháztartáson kívülről</t>
  </si>
  <si>
    <t>137</t>
  </si>
  <si>
    <t>D/II/8 Költségvetési évet követően esedékes követelések finanszírozási bevételekre (=D/II/8a+D/II/8b+D/II/8c+D/II/8d)</t>
  </si>
  <si>
    <t>138</t>
  </si>
  <si>
    <t>D/II8a - ebből: költségvetési évet követően esedékes követelések befektetési célú belföldi értékpapírok beváltásából, értékesítéséből</t>
  </si>
  <si>
    <t>139</t>
  </si>
  <si>
    <t>D/II8b - ebből: költségvetési évet követően esedékes követelések államháztartáson belüli megelőlegezések törlesztésére</t>
  </si>
  <si>
    <t>140</t>
  </si>
  <si>
    <t>D/II8c - ebből: költségvetési évet követően esedékes követelések hosszú lejáratú tulajdonosi kölcsönök bevételeire</t>
  </si>
  <si>
    <t>141</t>
  </si>
  <si>
    <t>D/II8d - ebből: költségvetési évet követően esedékes követelések befektetési célú külföldi értékpapírok beváltásából, értékesítéséből</t>
  </si>
  <si>
    <t>142</t>
  </si>
  <si>
    <t>D/II Költségvetési évet követően esedékes követelések (=D/II/1+…+D/II/8)</t>
  </si>
  <si>
    <t>143</t>
  </si>
  <si>
    <t>D/III/1 Adott előlegek (=D/III/1a+…+D/III/1f)</t>
  </si>
  <si>
    <t>144</t>
  </si>
  <si>
    <t>D/III/1a - ebből: immateriális javakra adott előlegek</t>
  </si>
  <si>
    <t>145</t>
  </si>
  <si>
    <t>D/III/1b - ebből: beruházásokra, felújításokra adott előlegek</t>
  </si>
  <si>
    <t>146</t>
  </si>
  <si>
    <t>D/III/1c - ebből: készletekre adott előlegek</t>
  </si>
  <si>
    <t>147</t>
  </si>
  <si>
    <t>D/III/1d - ebből: igénybe vett szolgáltatásra adott előlegek</t>
  </si>
  <si>
    <t>148</t>
  </si>
  <si>
    <t>D/III/1e - ebből: foglalkoztatottaknak adott előlegek</t>
  </si>
  <si>
    <t>149</t>
  </si>
  <si>
    <t>D/III/1f - ebből: túlfizetések, téves és visszajáró kifizetések</t>
  </si>
  <si>
    <t>150</t>
  </si>
  <si>
    <t>D/III/2 Továbbadási célból folyósított támogatások, ellátások elszámolása</t>
  </si>
  <si>
    <t>151</t>
  </si>
  <si>
    <t>D/III/3 Más által beszedett bevételek elszámolása</t>
  </si>
  <si>
    <t>152</t>
  </si>
  <si>
    <t>D/III/4 Forgótőke elszámolása</t>
  </si>
  <si>
    <t>153</t>
  </si>
  <si>
    <t>D/III/5 Vagyonkezelésbe adott eszközökkel kapcsolatos visszapótlási követelés elszámolása</t>
  </si>
  <si>
    <t>154</t>
  </si>
  <si>
    <t>D/III/6 Nem társadalombiztosítás pénzügyi alapjait terhelő kifizetett ellátások megtérítésének elszámolása</t>
  </si>
  <si>
    <t>155</t>
  </si>
  <si>
    <t>D/III/7 Folyósított, megelőlegezett társadalombiztosítási és családtámogatási ellátások elszámolása</t>
  </si>
  <si>
    <t>156</t>
  </si>
  <si>
    <t>D/III/8 Részesedésszerzés esetén átadott eszközök</t>
  </si>
  <si>
    <t>157</t>
  </si>
  <si>
    <t>D/III/9 Letétre, megőrzésre, fedezetkezelésre átadott pénzeszközök, biztosítékok</t>
  </si>
  <si>
    <t>158</t>
  </si>
  <si>
    <t>D/III Követelés jellegű sajátos elszámolások (=D/III/1+…+D/III/9)</t>
  </si>
  <si>
    <t>159</t>
  </si>
  <si>
    <t>D) KÖVETELÉSEK  (=D/I+D/II+D/III)</t>
  </si>
  <si>
    <t>160</t>
  </si>
  <si>
    <t>E/I/1 Adott előleghez kapcsolódó előzetesen felszámított levonható általános forgalmi adó</t>
  </si>
  <si>
    <t>161</t>
  </si>
  <si>
    <t>E/I/2 Más előzetesen felszámított levonható általános forgalmi adó</t>
  </si>
  <si>
    <t>162</t>
  </si>
  <si>
    <t>E/I/3 Adott előleghez kapcsolódó előzetesen felszámított nem levonható általános forgalmi adó</t>
  </si>
  <si>
    <t>163</t>
  </si>
  <si>
    <t>E/I/4 Más előzetesen felszámított nem levonható általános forgalmi adó</t>
  </si>
  <si>
    <t>164</t>
  </si>
  <si>
    <t>E/I Előzetesen felszámított általános forgalmi adó elszámolása (=E/I/1+…+E/I/4)</t>
  </si>
  <si>
    <t>165</t>
  </si>
  <si>
    <t>E/II/1 Kapott előleghez kapcsolódó fizetendő általános forgalmi adó</t>
  </si>
  <si>
    <t>166</t>
  </si>
  <si>
    <t>E/II/2 Más fizetendő általános forgalmi adó</t>
  </si>
  <si>
    <t>167</t>
  </si>
  <si>
    <t>E/II Fizetendő általános forgalmi adó elszámolása (=E/II/1+E/II/2)</t>
  </si>
  <si>
    <t>168</t>
  </si>
  <si>
    <t>E/III/1 December havi illetmények, munkabérek elszámolása</t>
  </si>
  <si>
    <t>169</t>
  </si>
  <si>
    <t>E/III/2 Utalványok, bérletek és más hasonló, készpénz-helyettesítő fizetési eszköznek nem minősülő eszközök elszámolásai</t>
  </si>
  <si>
    <t>170</t>
  </si>
  <si>
    <t>E/III Egyéb sajátos eszközoldali elszámolások (=E/III/1+E/III/2)</t>
  </si>
  <si>
    <t>171</t>
  </si>
  <si>
    <t>E) EGYÉB SAJÁTOS ELSZÁMOLÁSOK (=E/I+E/II+E/III)</t>
  </si>
  <si>
    <t>172</t>
  </si>
  <si>
    <t>F/1  Eredményszemléletű bevételek aktív időbeli elhatárolása</t>
  </si>
  <si>
    <t>173</t>
  </si>
  <si>
    <t>F/2 Költségek, ráfordítások aktív időbeli elhatárolása</t>
  </si>
  <si>
    <t>174</t>
  </si>
  <si>
    <t>F/3 Halasztott ráfordítások</t>
  </si>
  <si>
    <t>175</t>
  </si>
  <si>
    <t>F) AKTÍV IDŐBELI  ELHATÁROLÁSOK  (=F/1+F/2+F/3)</t>
  </si>
  <si>
    <t>176</t>
  </si>
  <si>
    <t>ESZKÖZÖK ÖSSZESEN (=A+B+C+D+E+F)</t>
  </si>
  <si>
    <t>177</t>
  </si>
  <si>
    <t>G/I  Nemzeti vagyon induláskori értéke</t>
  </si>
  <si>
    <t>178</t>
  </si>
  <si>
    <t>G/II Nemzeti vagyon változásai</t>
  </si>
  <si>
    <t>179</t>
  </si>
  <si>
    <t>G/III Egyéb eszközök induláskori értéke és változásai</t>
  </si>
  <si>
    <t>180</t>
  </si>
  <si>
    <t>G/IV Felhalmozott eredmény</t>
  </si>
  <si>
    <t>181</t>
  </si>
  <si>
    <t>G/V Eszközök értékhelyesbítésének forrása</t>
  </si>
  <si>
    <t>182</t>
  </si>
  <si>
    <t>G/VI Mérleg szerinti eredmény</t>
  </si>
  <si>
    <t>183</t>
  </si>
  <si>
    <t>G/ SAJÁT TŐKE  (= G/I+…+G/VI)</t>
  </si>
  <si>
    <t>184</t>
  </si>
  <si>
    <t>H/I/1 Költségvetési évben esedékes kötelezettségek személyi juttatásokra</t>
  </si>
  <si>
    <t>185</t>
  </si>
  <si>
    <t>H/I/2 Költségvetési évben esedékes kötelezettségek munkaadókat terhelő járulékokra és szociális hozzájárulási adóra</t>
  </si>
  <si>
    <t>186</t>
  </si>
  <si>
    <t>H/I/3 Költségvetési évben esedékes kötelezettségek dologi kiadásokra</t>
  </si>
  <si>
    <t>187</t>
  </si>
  <si>
    <t>H/I/4 Költségvetési évben esedékes kötelezettségek ellátottak pénzbeli juttatásaira</t>
  </si>
  <si>
    <t>188</t>
  </si>
  <si>
    <t>H/I/5 Költségvetési évben esedékes kötelezettségek egyéb működési célú kiadásokra (&gt;=H/I/5a+H/I/5b)</t>
  </si>
  <si>
    <t>189</t>
  </si>
  <si>
    <t>H/I/5a - ebből: költségvetési évben esedékes kötelezettségek működési célú visszatérítendő támogatások, kölcsönök törlesztésére államháztartáson belülre</t>
  </si>
  <si>
    <t>190</t>
  </si>
  <si>
    <t>H/I/5b - ebből: költségvetési évben esedékes kötelezettségek működési célú támogatásokra az Európai Uniónak</t>
  </si>
  <si>
    <t>191</t>
  </si>
  <si>
    <t>H/I/6 Költségvetési évben esedékes kötelezettségek beruházásokra</t>
  </si>
  <si>
    <t>192</t>
  </si>
  <si>
    <t>H/I/7 Költségvetési évben esedékes kötelezettségek felújításokra</t>
  </si>
  <si>
    <t>193</t>
  </si>
  <si>
    <t>H/I/8 Költségvetési évben esedékes kötelezettségek egyéb felhalmozási célú kiadásokra (&gt;=H/I/8a+H/I/8b)</t>
  </si>
  <si>
    <t>194</t>
  </si>
  <si>
    <t>H/I/8a - ebből: költségvetési évben esedékes kötelezettségek felhalmozási célú visszatérítendő támogatások, kölcsönök törlesztésére államháztartáson belülre</t>
  </si>
  <si>
    <t>195</t>
  </si>
  <si>
    <t>H/I/8b - ebből: költségvetési évben esedékes kötelezettségek felhalmozási célú támogatásokra az Európai Uniónak</t>
  </si>
  <si>
    <t>196</t>
  </si>
  <si>
    <t>H/I/9 Költségvetési évben esedékes kötelezettségek finanszírozási kiadásokra (&gt;=H/I/9a+…+H/I/9l)</t>
  </si>
  <si>
    <t>197</t>
  </si>
  <si>
    <t>H/I/9a - ebből: költségvetési évben esedékes kötelezettségek hosszú lejáratú hitelek, kölcsönök törlesztésére pénzügyi vállalkozásnak</t>
  </si>
  <si>
    <t>198</t>
  </si>
  <si>
    <t>H/I/9b - ebből: költségvetési évben esedékes kötelezettségek rövid lejáratú hitelek, kölcsönök törlesztésére pénzügyi vállalkozásnak</t>
  </si>
  <si>
    <t>199</t>
  </si>
  <si>
    <t>H/I/9c - ebből: költségvetési évben esedékes kötelezettségek kincstárjegyek beváltására</t>
  </si>
  <si>
    <t>200</t>
  </si>
  <si>
    <t>H/I/9d - ebből: költségvetési évben esedékes kötelezettségek éven belüli lejáratú belföldi értékpapírok beváltására</t>
  </si>
  <si>
    <t>201</t>
  </si>
  <si>
    <t>H/I/9e - ebből: költségvetési évben esedékes kötelezettségek belföldi kötvények beváltására</t>
  </si>
  <si>
    <t>202</t>
  </si>
  <si>
    <t>H/I/9f - ebből: költségvetési évben esedékes kötelezettségek éven túli lejáratú belföldi értékpapírok beváltására</t>
  </si>
  <si>
    <t>203</t>
  </si>
  <si>
    <t>H/I/9g - ebből: költségvetési évben esedékes kötelezettségek államháztartáson belüli megelőlegezések visszafizetésére</t>
  </si>
  <si>
    <t>204</t>
  </si>
  <si>
    <t>H/I/9h - ebből: költségvetési évben esedékes kötelezettségek pénzügyi lízing kiadásaira</t>
  </si>
  <si>
    <t>205</t>
  </si>
  <si>
    <t>H/I/9i - ebből: költségvetési évben esedékes kötelezettségek külföldi értékpapírok beváltására</t>
  </si>
  <si>
    <t>206</t>
  </si>
  <si>
    <t>H/I/9j - ebből: költségvetési évben esedékes kötelezettségek hitelek, kölcsönök törlesztésére külföldi kormányoknak és nemzetközi szervezeteknek</t>
  </si>
  <si>
    <t>207</t>
  </si>
  <si>
    <t>H/I/9k - ebből: költségvetési évben esedékes kötelezettségek hitelek, kölcsönök törlesztésére külföldi pénzintézeteknek</t>
  </si>
  <si>
    <t>208</t>
  </si>
  <si>
    <t>H/I/9l - ebből: költségvetési évben esedékes kötelezettségek váltókiadásokra</t>
  </si>
  <si>
    <t>209</t>
  </si>
  <si>
    <t>H/I Költségvetési évben esedékes kötelezettségek (=H/I/1+…+H/I/9)</t>
  </si>
  <si>
    <t>210</t>
  </si>
  <si>
    <t>H/II/1 Költségvetési évet követően esedékes kötelezettségek személyi juttatásokra</t>
  </si>
  <si>
    <t>211</t>
  </si>
  <si>
    <t>H/II/2 Költségvetési évet követően esedékes kötelezettségek munkaadókat terhelő járulékokra és szociális hozzájárulási adóra</t>
  </si>
  <si>
    <t>212</t>
  </si>
  <si>
    <t>H/II/3 Költségvetési évet követően esedékes kötelezettségek dologi kiadásokra</t>
  </si>
  <si>
    <t>213</t>
  </si>
  <si>
    <t>H/II/4 Költségvetési évet követően esedékes kötelezettségek ellátottak pénzbeli juttatásaira</t>
  </si>
  <si>
    <t>214</t>
  </si>
  <si>
    <t>H/II/5 Költségvetési évet követően esedékes kötelezettségek egyéb működési célú kiadásokra (&gt;=H/II/5a+H/II/5b)</t>
  </si>
  <si>
    <t>215</t>
  </si>
  <si>
    <t>H/II/5a - ebből: költségvetési évet követően esedékes kötelezettségek működési célú visszatérítendő támogatások, kölcsönök törlesztésére államháztartáson belülre</t>
  </si>
  <si>
    <t>216</t>
  </si>
  <si>
    <t>H/II/5b - ebből: költségvetési évet követően esedékes kötelezettségek működési célú támogatásokra az Európai Uniónak</t>
  </si>
  <si>
    <t>217</t>
  </si>
  <si>
    <t>H/II/6 Költségvetési évet követően esedékes kötelezettségek beruházásokra</t>
  </si>
  <si>
    <t>218</t>
  </si>
  <si>
    <t>H/II/7 Költségvetési évet követően esedékes kötelezettségek felújításokra</t>
  </si>
  <si>
    <t>219</t>
  </si>
  <si>
    <t>H/II/8 Költségvetési évet követően esedékes kötelezettségek egyéb felhalmozási célú kiadásokra (&gt;=H/II/8a+H/II/8b)</t>
  </si>
  <si>
    <t>220</t>
  </si>
  <si>
    <t>H/II/8a - ebből: költségvetési évet követően esedékes kötelezettségek felhalmozási célú visszatérítendő támogatások, kölcsönök törlesztésére államháztartáson belülre</t>
  </si>
  <si>
    <t>221</t>
  </si>
  <si>
    <t>H/II/8b - ebből: költségvetési évet követően esedékes kötelezettségek felhalmozási célú támogatásokra az Európai Uniónak</t>
  </si>
  <si>
    <t>222</t>
  </si>
  <si>
    <t>H/II/9 Költségvetési évet követően esedékes kötelezettségek finanszírozási kiadásokra (&gt;=H/II/9a+…+H/II/9j)</t>
  </si>
  <si>
    <t>223</t>
  </si>
  <si>
    <t>H/II/9a - ebből: költségvetési évet követően esedékes kötelezettségek hosszú lejáratú hitelek, kölcsönök törlesztésére pénzügyi vállalkozásnak</t>
  </si>
  <si>
    <t>224</t>
  </si>
  <si>
    <t>H/II/9b - ebből: költségvetési évet követően esedékes kötelezettségek kincstárjegyek beváltására</t>
  </si>
  <si>
    <t>225</t>
  </si>
  <si>
    <t>H/II/9c - ebből: költségvetési évet követően esedékes kötelezettségek belföldi kötvények beváltására</t>
  </si>
  <si>
    <t>226</t>
  </si>
  <si>
    <t>H/II/9d - ebből: költségvetési évet követően esedékes kötelezettségek éven túli lejáratú belföldi értékpapírok beváltására</t>
  </si>
  <si>
    <t>227</t>
  </si>
  <si>
    <t>H/II/9e - ebből: költségvetési évet követően esedékes kötelezettségek államháztartáson belüli megelőlegezések visszafizetésére</t>
  </si>
  <si>
    <t>228</t>
  </si>
  <si>
    <t>H/II/9f - ebből: költségvetési évet követően esedékes kötelezettségek pénzügyi lízing kiadásaira</t>
  </si>
  <si>
    <t>229</t>
  </si>
  <si>
    <t>H/II/9g - ebből: költségvetési évet követően esedékes kötelezettségek külföldi értékpapírok beváltására</t>
  </si>
  <si>
    <t>230</t>
  </si>
  <si>
    <t>H/II/9h - ebből: költségvetési évet követően esedékes kötelezettségek hitelek, kölcsönök törlesztésére külföldi kormányoknak és nemzetközi szervezeteknek</t>
  </si>
  <si>
    <t>231</t>
  </si>
  <si>
    <t>H/II/9i - ebből: költségvetési évet követően esedékes kötelezettségek külföldi hitelek, kölcsönök törlesztésére külföldi pénzintézeteknek</t>
  </si>
  <si>
    <t>232</t>
  </si>
  <si>
    <t>H/II/9j - ebből: költségvetési évet követően esedékes kötelezettségek váltókiadásokra</t>
  </si>
  <si>
    <t>233</t>
  </si>
  <si>
    <t>H/II Költségvetési évet követően esedékes kötelezettségek (=H/II/1+…+H/II/9)</t>
  </si>
  <si>
    <t>234</t>
  </si>
  <si>
    <t>H/III/1 Kapott előlegek</t>
  </si>
  <si>
    <t>235</t>
  </si>
  <si>
    <t>H/III/2 Továbbadási célból folyósított támogatások, ellátások elszámolása</t>
  </si>
  <si>
    <t>236</t>
  </si>
  <si>
    <t>H/III/3 Más szervezetet megillető bevételek elszámolása</t>
  </si>
  <si>
    <t>237</t>
  </si>
  <si>
    <t>H/III/4 Forgótőke elszámolása (Kincstár)</t>
  </si>
  <si>
    <t>238</t>
  </si>
  <si>
    <t>H/III/5 Nemzeti vagyonba tartozó befektetett eszközökkel kapcsolatos egyes kötelezettség jellegű sajátos elszámolások</t>
  </si>
  <si>
    <t>239</t>
  </si>
  <si>
    <t>H/III/6 Nem társadalombiztosítás pénzügyi alapjait terhelő kifizetett ellátások megtérítésének elszámolása</t>
  </si>
  <si>
    <t>240</t>
  </si>
  <si>
    <t>H/III/8 Letétre, megőrzésre, fedezetkezelésre átvett pénzeszközök, biztosítékok</t>
  </si>
  <si>
    <t>241</t>
  </si>
  <si>
    <t>H/III/9 Nemzetközi támogatási programok pénzeszközei</t>
  </si>
  <si>
    <t>242</t>
  </si>
  <si>
    <t>H/III/10 Államadósság Kezelő Központ Zrt.-nél elhelyezett fedezeti betétek</t>
  </si>
  <si>
    <t>243</t>
  </si>
  <si>
    <t>H/III Kötelezettség jellegű sajátos elszámolások (=H/III/1+…+H/III/10)</t>
  </si>
  <si>
    <t>244</t>
  </si>
  <si>
    <t>H) KÖTELEZETTSÉGEK (=H/I+H/II+H/III)</t>
  </si>
  <si>
    <t>245</t>
  </si>
  <si>
    <t>I) KINCSTÁRI SZÁMLAVEZETÉSSEL KAPCSOLATOS ELSZÁMOLÁSOK</t>
  </si>
  <si>
    <t>246</t>
  </si>
  <si>
    <t>J/1 Eredményszemléletű bevételek passzív időbeli elhatárolása</t>
  </si>
  <si>
    <t>247</t>
  </si>
  <si>
    <t>J/2 Költségek, ráfordítások passzív időbeli elhatárolása</t>
  </si>
  <si>
    <t>248</t>
  </si>
  <si>
    <t>J/3 Halasztott eredményszemléletű bevételek</t>
  </si>
  <si>
    <t>249</t>
  </si>
  <si>
    <t>J) PASSZÍV IDŐBELI ELHATÁROLÁSOK (=J/1+J/2+J/3)</t>
  </si>
  <si>
    <t>250</t>
  </si>
  <si>
    <t>FORRÁSOK ÖSSZESEN (=G+H+I+J)</t>
  </si>
  <si>
    <t>Sülysáp Város Önkormányzatának  2018. évi mérlege</t>
  </si>
  <si>
    <t>Sülysáp Város Önkormányzat és intézményei - Konszolidált mérleg 2019. év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</si>
  <si>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</si>
  <si>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</si>
  <si>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</si>
  <si>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</si>
  <si>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</si>
  <si>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</si>
  <si>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</si>
  <si>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</si>
  <si>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</si>
  <si>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</si>
  <si>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</si>
  <si>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Térítésmentes átvétel</t>
  </si>
  <si>
    <t>Alapításkori átvétel, vagyonkezelésbe vétel miatti átvétel, vagyonkezelői jog visszavétele</t>
  </si>
  <si>
    <t>Egyéb növekedés</t>
  </si>
  <si>
    <t>Összes növekedés  (=02+…+07)</t>
  </si>
  <si>
    <t>Értékesítés</t>
  </si>
  <si>
    <t>Hiány, selejtezés, megsemmisülés</t>
  </si>
  <si>
    <t>Térítésmentes átadás</t>
  </si>
  <si>
    <t>Költségvetési szerv, társulás alapításkori átadás, vagyonkezelésbe adás miatti átadás, vagyonkezelői jog visszaadása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</si>
  <si>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</si>
  <si>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</si>
  <si>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</si>
  <si>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</si>
  <si>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</si>
  <si>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</si>
  <si>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</si>
  <si>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Terven felüli értékcsökkenés nyitó állománya</t>
  </si>
  <si>
    <t>Terven felüli értékcsökkenés növekedés</t>
  </si>
  <si>
    <t>Terven felüli értékcsökkenés visszaírás, kivezetés</t>
  </si>
  <si>
    <t>Terven felüli értékcsökkenés záró állománya (=20+21-22)</t>
  </si>
  <si>
    <t>Értékcsökkenés összesen (=19+23)</t>
  </si>
  <si>
    <t>Eszközök nettó értéke (=15-24)</t>
  </si>
  <si>
    <t>Teljesen (0-ig) leírt eszközök bruttó értéke</t>
  </si>
  <si>
    <t>Kimutatás az immateriális javak, tárgyi eszközök koncesszióba, vagyonkezelésbe adott eszközök állományának alakulásáról</t>
  </si>
  <si>
    <t>Sülysáp Város Önkormányzat és intézményei</t>
  </si>
  <si>
    <t>Értéktípus: Forint</t>
  </si>
  <si>
    <t>Vagyonkimutatás - 2018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</si>
  <si>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</si>
  <si>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</si>
  <si>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</si>
  <si>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</si>
  <si>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04 Saját termelésű készletek állományváltozása</t>
  </si>
  <si>
    <t>05 Saját előállítású eszközök aktivált értéke</t>
  </si>
  <si>
    <t>II Aktivált saját teljesítmények értéke (=±04+05)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</si>
  <si>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</si>
  <si>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</si>
  <si>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</si>
  <si>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</si>
  <si>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</si>
  <si>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</si>
  <si>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</si>
  <si>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12 Eladott áruk beszerzési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</si>
  <si>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</si>
  <si>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</si>
  <si>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</si>
  <si>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</si>
  <si>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</si>
  <si>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</si>
  <si>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</si>
  <si>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</si>
  <si>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</si>
  <si>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</si>
  <si>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</si>
  <si>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B)  PÉNZÜGYI MŰVELETEK EREDMÉNYE (=VIII-IX)</t>
  </si>
  <si>
    <t>C)  MÉRLEG SZERINTI EREDMÉNY (=±A±B)</t>
  </si>
  <si>
    <t>Sülysáp Város Önkormányzatának Eredménykimutatása 2018. Év</t>
  </si>
  <si>
    <t>17 Kapott (járó) osztalék és részesedés</t>
  </si>
  <si>
    <t>18 Részesedésekből származó eredményszemléletű bevételek, árfolyamnyereségek</t>
  </si>
  <si>
    <t>19 Befektetett pénzügyi eszközökből származó eredményszemléletű bevételek, árfolyamnyereségek</t>
  </si>
  <si>
    <t>21 Pénzügyi műveletek egyéb eredményszemléletű bevételei (&gt;=21a+21b)</t>
  </si>
  <si>
    <t>21a - ebből: lekötött bankbetétek mérlegfordulónapi értékelése során megállapított (nem realizált) árfolyamnyeresége</t>
  </si>
  <si>
    <t>21b - ebből: egyéb pénzeszközök és sajátos elszámolások mérlegfordulónapi értékelése során megállapított (nem realizált) árfolyamnyeresége</t>
  </si>
  <si>
    <t>22 Részesedésekből származó ráfordítások, árfolyamveszteségek</t>
  </si>
  <si>
    <t>23 Befektetett pénzügyi eszközökből (értékpapírokból, kölcsönökből) származó ráfordítások, árfolyamveszteségek</t>
  </si>
  <si>
    <t>24 Fizetendő kamatok és kamatjellegű ráfordítások</t>
  </si>
  <si>
    <t>25 Részesedések, értékpapírok, pénzeszközök értékvesztése (&gt;=25a+25b)</t>
  </si>
  <si>
    <t>25a - ebből: lekötött bankbetétek értékvesztése</t>
  </si>
  <si>
    <t>25b - ebből: Kincstáron kívüli forint- és devizaszámlák értékvesztése</t>
  </si>
  <si>
    <t>26 Pénzügyi műveletek egyéb ráfordításai (&gt;=26a+26b)</t>
  </si>
  <si>
    <t>26a - ebből: lekötött bankbetétek mérlegfordulónapi értékelése során megállapított (nem realizált) árfolyamvesztesége</t>
  </si>
  <si>
    <t>26b - ebből: egyéb pénzeszközök és sajátos elszámolások  mérlegfordulónapi értékelése során megállapított (nem realizált) árfolyamvesztesége</t>
  </si>
  <si>
    <t>IX Pénzügyi műveletek ráfordításai (=22+23+24+25+26)</t>
  </si>
  <si>
    <t>Sülysáp Város Önkormányzat és intézményei - Konszolidált eredménykimutatás  2018. ÉV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</si>
  <si>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</si>
  <si>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</si>
  <si>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</si>
  <si>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</si>
  <si>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</si>
  <si>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</si>
  <si>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</si>
  <si>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</si>
  <si>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</si>
  <si>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</si>
  <si>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</si>
  <si>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</si>
  <si>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</si>
  <si>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</si>
  <si>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</si>
  <si>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</si>
  <si>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</si>
  <si>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</si>
  <si>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(=B*0,09)</t>
  </si>
  <si>
    <t>G)        Vállalkozási tevékenység felhasználható maradványa (=B-F)</t>
  </si>
  <si>
    <t>Sülysáp Város Önkormányzat és intézményei- Maradványkimutatás 2018. ÉV</t>
  </si>
  <si>
    <t xml:space="preserve">Hitel, kölcsön </t>
  </si>
  <si>
    <t>Kölcsön-
nyújtás
éve</t>
  </si>
  <si>
    <t xml:space="preserve">Lejárat
éve </t>
  </si>
  <si>
    <t>Hitel, kölcsön állomány december 31-én</t>
  </si>
  <si>
    <t>B</t>
  </si>
  <si>
    <t>C</t>
  </si>
  <si>
    <t>D</t>
  </si>
  <si>
    <t>F</t>
  </si>
  <si>
    <t>G</t>
  </si>
  <si>
    <t>H</t>
  </si>
  <si>
    <t xml:space="preserve">Rövid lejáratú </t>
  </si>
  <si>
    <t>Rövid lejáratú tételesen</t>
  </si>
  <si>
    <t>Hosszú lejáratú</t>
  </si>
  <si>
    <t>Pénzügyi lízing</t>
  </si>
  <si>
    <t>Összesen (1+8)</t>
  </si>
  <si>
    <t>2019.</t>
  </si>
  <si>
    <t>2020. után</t>
  </si>
  <si>
    <t>Sülysáp Város Önkormányzat - Hitel és kölcsön kimutatás 2017. ÉV</t>
  </si>
  <si>
    <t>Sülysáp Város Önkormányzat</t>
  </si>
  <si>
    <t>Sor-szám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</si>
  <si>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</si>
  <si>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</si>
  <si>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</si>
  <si>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</si>
  <si>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</si>
  <si>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</si>
  <si>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</si>
  <si>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</si>
  <si>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</si>
  <si>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A</t>
  </si>
  <si>
    <t>E</t>
  </si>
  <si>
    <t>H=(D+…+G)</t>
  </si>
  <si>
    <t>I=(C+H)</t>
  </si>
  <si>
    <t>I. Belföldi hitelezők</t>
  </si>
  <si>
    <t>1.</t>
  </si>
  <si>
    <t>Adóhatósággal szembeni tartozások</t>
  </si>
  <si>
    <t>2.</t>
  </si>
  <si>
    <t>Központi költségvetéssel szemben fennálló tartozás</t>
  </si>
  <si>
    <t>3.</t>
  </si>
  <si>
    <t>Elkülönített állami pénzalapokkal szembeni tartozás</t>
  </si>
  <si>
    <t>4.</t>
  </si>
  <si>
    <t>TB alapokkal szembeni tartozás</t>
  </si>
  <si>
    <t>5.</t>
  </si>
  <si>
    <t>Tartozásállomány önkormányzatok és intézmények felé</t>
  </si>
  <si>
    <t>6.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</si>
  <si>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</si>
  <si>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</si>
  <si>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</si>
  <si>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</si>
  <si>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</si>
  <si>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</si>
  <si>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Adósság állomány alakulása lejárat, eszközök, bel- és külföldi hitelezők szerinti bontásban 2018.  december 31-én</t>
  </si>
  <si>
    <t xml:space="preserve">I. Működési bevételek és működési kiadások </t>
  </si>
  <si>
    <t xml:space="preserve">                  MÉRLEGE     2016 év</t>
  </si>
  <si>
    <t>ezer forintban</t>
  </si>
  <si>
    <t xml:space="preserve">                          Kiadások</t>
  </si>
  <si>
    <t>teljesítés</t>
  </si>
  <si>
    <t>mód. ei.</t>
  </si>
  <si>
    <t>Működési célú.támogatások ÁHT-n belülről (B1)</t>
  </si>
  <si>
    <t>Személyi juttatások (K1)</t>
  </si>
  <si>
    <t>Közatalmi bevételek (B3)</t>
  </si>
  <si>
    <t>Munkaadót terhelő járulék,szoc.ho. (K2)</t>
  </si>
  <si>
    <t>Működési bevételek (B4)</t>
  </si>
  <si>
    <t>Dologi kiadások (K3)</t>
  </si>
  <si>
    <t>Ellátottak pénzbeli juttatása (K4)</t>
  </si>
  <si>
    <t>Működési célú átvett pénzeszközök (B6)</t>
  </si>
  <si>
    <t>Egyéb működési célú kiadások (K5)</t>
  </si>
  <si>
    <t xml:space="preserve"> -tartalékok</t>
  </si>
  <si>
    <t>Működési költségvetési bevételek</t>
  </si>
  <si>
    <t>Működési költségvetési kiadások</t>
  </si>
  <si>
    <t>Egyenleg - Hiány - Többlet</t>
  </si>
  <si>
    <t>Tagi kölcsön(ÖKOVÍZ)</t>
  </si>
  <si>
    <t xml:space="preserve"> - hitelfelvétel</t>
  </si>
  <si>
    <t xml:space="preserve"> -hiteltörlesztés+kamata</t>
  </si>
  <si>
    <t xml:space="preserve"> - maradvány igénybevétele</t>
  </si>
  <si>
    <t>megelőlegezés</t>
  </si>
  <si>
    <t xml:space="preserve"> -ÁHT-n belüli megelőlegezés-MÁK-tól</t>
  </si>
  <si>
    <t>MŰKÖDÉSI BEVÉTELEK ÖSSZESEN</t>
  </si>
  <si>
    <t>MŰKÖDÉSI KIADÁSOK ÖSSZESEN</t>
  </si>
  <si>
    <t>Működési és felhalmozási kiadások összesen</t>
  </si>
  <si>
    <r>
      <t xml:space="preserve">                           </t>
    </r>
    <r>
      <rPr>
        <b/>
        <sz val="12"/>
        <rFont val="Arial CE"/>
        <family val="2"/>
        <charset val="238"/>
      </rPr>
      <t xml:space="preserve">       Bevételek</t>
    </r>
  </si>
  <si>
    <t>MÉRLEGE 2018.</t>
  </si>
  <si>
    <t xml:space="preserve">    II. Felhalmozási bevételek és kiadások</t>
  </si>
  <si>
    <t>Bevételek</t>
  </si>
  <si>
    <t xml:space="preserve">                                    </t>
  </si>
  <si>
    <t xml:space="preserve">                                                        Kiadások                                </t>
  </si>
  <si>
    <t xml:space="preserve">                                         </t>
  </si>
  <si>
    <t>Kiadások</t>
  </si>
  <si>
    <t>mód.ei.</t>
  </si>
  <si>
    <t>Felhalmozási célú támog. ÁHT belülről (B2)</t>
  </si>
  <si>
    <t>Beruházások (K6)</t>
  </si>
  <si>
    <t>Felhalmozási bevételek (B5)</t>
  </si>
  <si>
    <t>Felújítások (K7)</t>
  </si>
  <si>
    <t>Egyéb felhalmozási célú kiadások (K8)</t>
  </si>
  <si>
    <t>Felhalmozási célú átvett pénzeszközök (pályázatok) (B7)</t>
  </si>
  <si>
    <t>Felhalmozási költségvetési bevételek</t>
  </si>
  <si>
    <t>Felhalmozási költségvetési kiadások</t>
  </si>
  <si>
    <t xml:space="preserve">Finaszírozási kiadások </t>
  </si>
  <si>
    <t xml:space="preserve"> -maradvány igénybevétele</t>
  </si>
  <si>
    <t>FELHALMOZÁSI  BEVÉTELEK ÖSSZESEN</t>
  </si>
  <si>
    <t>FELHALMOZÁSI KIADÁSOK ÖSSZESEN</t>
  </si>
  <si>
    <t>MÉRLEGE 2018. év</t>
  </si>
  <si>
    <t>Közvetett támogatások 2018. év</t>
  </si>
  <si>
    <t>Az Áht. 24.§ (4) bekezdésének c.) pontja szerinti közvetett támogatásokról:</t>
  </si>
  <si>
    <t>Hivatkozás</t>
  </si>
  <si>
    <t>Iparűzési adó</t>
  </si>
  <si>
    <t>1990. évi C. tv. a helyi adókról, 39/C. (4) alapján háziorvosnak adható kedvezmény</t>
  </si>
  <si>
    <t>Építményadó</t>
  </si>
  <si>
    <t>Sülysáp Város Önkormányzata Képviselő Testületének 15/2015 (XI.27.) önkormányzati rendelete 5. § 1. bekezdése alapján</t>
  </si>
  <si>
    <t>Gépjárműadó</t>
  </si>
  <si>
    <t>Gjt. 1992. évi LXXXII. tv. 5. §. alapján</t>
  </si>
  <si>
    <t>Ebrendészeti hozzájárulás</t>
  </si>
  <si>
    <t>Sülysáp Város Önkormányzata Képviselő-testületének az ebrendészeti hozzájárulásról szóló 24/2012. (XI. 30.) önkormányzati rendeletének 3. § 2. bekezdése alapján</t>
  </si>
  <si>
    <t xml:space="preserve">Összesen: </t>
  </si>
  <si>
    <t>Sülysáp, 2019. április 30.</t>
  </si>
  <si>
    <r>
      <t xml:space="preserve">Egyéb műk. c. tám kozponti kezelésű ei-tól </t>
    </r>
    <r>
      <rPr>
        <sz val="8"/>
        <rFont val="Arial"/>
        <family val="2"/>
        <charset val="238"/>
      </rPr>
      <t>(Erzsébet utalvány igény, gyerekvédelmi tám.)</t>
    </r>
  </si>
  <si>
    <r>
      <t xml:space="preserve">Egyéb műk c. tám. Elk. Áll.pénzalapok </t>
    </r>
    <r>
      <rPr>
        <sz val="8"/>
        <rFont val="Arial"/>
        <family val="2"/>
        <charset val="238"/>
      </rPr>
      <t>(Közfoglalkoztatottakra kapott tám.)</t>
    </r>
  </si>
  <si>
    <r>
      <t xml:space="preserve">Egyéb működési támogatás központi költségvetési szervtől </t>
    </r>
    <r>
      <rPr>
        <sz val="8"/>
        <rFont val="Arial"/>
        <family val="2"/>
        <charset val="238"/>
      </rPr>
      <t>(OEP-től vődőnői feladatokra, háziorvos 2018.I. félévig)</t>
    </r>
  </si>
  <si>
    <r>
      <t xml:space="preserve">Felhalmozási célú önkormányzati támogatások </t>
    </r>
    <r>
      <rPr>
        <sz val="10"/>
        <rFont val="Arial"/>
        <family val="2"/>
        <charset val="238"/>
      </rPr>
      <t>(közműv.érdekeltségnöv., Kubinyi Á. Prog.)</t>
    </r>
  </si>
  <si>
    <t>PM EÜALAPELLÁTÁS 2017/4 I. részlet</t>
  </si>
  <si>
    <t>PM_ONKORMUT_2016/141 II. részlet támogatási bevétel (útfelújítás)</t>
  </si>
  <si>
    <t>Felhalmozási célú támogatás közfogl. (elk. Áll.pénzalapok)</t>
  </si>
  <si>
    <r>
      <t xml:space="preserve">Egyéb műk c. tám. </t>
    </r>
    <r>
      <rPr>
        <sz val="8"/>
        <rFont val="Arial"/>
        <family val="2"/>
        <charset val="238"/>
      </rPr>
      <t>egyéb fej kez ei. (mezőőritám.)</t>
    </r>
  </si>
  <si>
    <t>Sülysáp Város Önkormányzat és intézményei - Pénzeszközök változása 2018. év</t>
  </si>
  <si>
    <t>I. negyedév</t>
  </si>
  <si>
    <t>II. negyedév</t>
  </si>
  <si>
    <t>III. negyedév</t>
  </si>
  <si>
    <t>IV. negyedév</t>
  </si>
  <si>
    <t>Összesen</t>
  </si>
  <si>
    <t>Nyitó pénzkészlet</t>
  </si>
  <si>
    <t>36..fkv.forgalma</t>
  </si>
  <si>
    <t>Záró pénzkészlet</t>
  </si>
  <si>
    <t xml:space="preserve"> Az önkormányzatok általános, köznevelési és szociális feladataihoz kapcsolódó támogatások elszámolása 2018. év</t>
  </si>
  <si>
    <t>A helyi önkormányzatok kiegészítő támogatásainak és egyéb kötött felhasználású támogatásainak elszámolása 2018. év</t>
  </si>
  <si>
    <t>Sorszám</t>
  </si>
  <si>
    <t>Előző év</t>
  </si>
  <si>
    <t>Tárgyév</t>
  </si>
  <si>
    <t>Index (%)</t>
  </si>
  <si>
    <t>1</t>
  </si>
  <si>
    <t>2</t>
  </si>
  <si>
    <t>3</t>
  </si>
  <si>
    <t>4</t>
  </si>
  <si>
    <t>5</t>
  </si>
  <si>
    <t>ESZKÖZÖK</t>
  </si>
  <si>
    <t>A/ NEMZETI VAGYONBA TARTOZÓ BEFEKTETETT ESZKÖZÖK</t>
  </si>
  <si>
    <t>6 440 631 868</t>
  </si>
  <si>
    <t>6 447 575 207</t>
  </si>
  <si>
    <t>100,11</t>
  </si>
  <si>
    <t>I. IMMATERIÁLIS JAVAK</t>
  </si>
  <si>
    <t>A/I</t>
  </si>
  <si>
    <t>2 186 044</t>
  </si>
  <si>
    <t>2 160 124</t>
  </si>
  <si>
    <t>98,81</t>
  </si>
  <si>
    <t>1. Vagyoni értékű jogok</t>
  </si>
  <si>
    <t>A/I/1</t>
  </si>
  <si>
    <t>554 044</t>
  </si>
  <si>
    <t>100 364</t>
  </si>
  <si>
    <t>18,11</t>
  </si>
  <si>
    <t>a) Forgalomképtelen törzsvagyon</t>
  </si>
  <si>
    <t>A/I/1/a</t>
  </si>
  <si>
    <t/>
  </si>
  <si>
    <t>b) Nemzetgazdasági szempontból kiemelt jelentőségű törzsvagyon</t>
  </si>
  <si>
    <t>A/I/1/b</t>
  </si>
  <si>
    <t>c) Korlátozottan forgalomképes vagyon</t>
  </si>
  <si>
    <t>A/I/1/c</t>
  </si>
  <si>
    <t>405 656</t>
  </si>
  <si>
    <t>d) Üzleti vagyon</t>
  </si>
  <si>
    <t>A/I/1/d</t>
  </si>
  <si>
    <t>148 388</t>
  </si>
  <si>
    <t>67,64</t>
  </si>
  <si>
    <t>2. Szellemi termékek</t>
  </si>
  <si>
    <t>A/I/2</t>
  </si>
  <si>
    <t>1 632 000</t>
  </si>
  <si>
    <t>2 059 760</t>
  </si>
  <si>
    <t>126,21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</si>
  <si>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</si>
  <si>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</si>
  <si>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</si>
  <si>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</si>
  <si>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</si>
  <si>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</si>
  <si>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</si>
  <si>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</si>
  <si>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</si>
  <si>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</si>
  <si>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</si>
  <si>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</si>
  <si>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6 420 882 029</t>
  </si>
  <si>
    <t>6 427 736 043</t>
  </si>
  <si>
    <t>1. Ingatlanok és kapcsolódó vagyoni értékű jogok</t>
  </si>
  <si>
    <t>A/II/1</t>
  </si>
  <si>
    <t>6 059 187 189</t>
  </si>
  <si>
    <t>6 171 845 127</t>
  </si>
  <si>
    <t>101,86</t>
  </si>
  <si>
    <t>A/II/1/a</t>
  </si>
  <si>
    <t>1 759 966 258</t>
  </si>
  <si>
    <t>1 927 359 278</t>
  </si>
  <si>
    <t>109,51</t>
  </si>
  <si>
    <t>A/II/1/b</t>
  </si>
  <si>
    <t>24 312 000</t>
  </si>
  <si>
    <t>A/II/1/c</t>
  </si>
  <si>
    <t>3 635 014 448</t>
  </si>
  <si>
    <t>3 579 309 978</t>
  </si>
  <si>
    <t>98,47</t>
  </si>
  <si>
    <t>A/II/1/d</t>
  </si>
  <si>
    <t>639 894 483</t>
  </si>
  <si>
    <t>640 863 871</t>
  </si>
  <si>
    <t>100,15</t>
  </si>
  <si>
    <t>2. Gépek, berendezések, felszerelések, járművek</t>
  </si>
  <si>
    <t>A/II/2</t>
  </si>
  <si>
    <t>236 918 322</t>
  </si>
  <si>
    <t>188 440 087</t>
  </si>
  <si>
    <t>79,54</t>
  </si>
  <si>
    <t>A/II/2/a</t>
  </si>
  <si>
    <t>4 955 890</t>
  </si>
  <si>
    <t>A/II/2/b</t>
  </si>
  <si>
    <t>A/II/2/c</t>
  </si>
  <si>
    <t>219 307 699</t>
  </si>
  <si>
    <t>164 034 361</t>
  </si>
  <si>
    <t>74,80</t>
  </si>
  <si>
    <t>A/II/2/d</t>
  </si>
  <si>
    <t>12 654 733</t>
  </si>
  <si>
    <t>19 449 836</t>
  </si>
  <si>
    <t>153,70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</si>
  <si>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</si>
  <si>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</si>
  <si>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</si>
  <si>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</si>
  <si>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</si>
  <si>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</si>
  <si>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</si>
  <si>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</si>
  <si>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124 776 518</t>
  </si>
  <si>
    <t>67 450 829</t>
  </si>
  <si>
    <t>54,06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</si>
  <si>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</si>
  <si>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</si>
  <si>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</si>
  <si>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</si>
  <si>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</si>
  <si>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</si>
  <si>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</si>
  <si>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</si>
  <si>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</si>
  <si>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</si>
  <si>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</si>
  <si>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</si>
  <si>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17 563 795</t>
  </si>
  <si>
    <t>17 679 040</t>
  </si>
  <si>
    <t>100,66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</si>
  <si>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</si>
  <si>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</si>
  <si>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</si>
  <si>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</si>
  <si>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</si>
  <si>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</si>
  <si>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</si>
  <si>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</si>
  <si>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</si>
  <si>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</si>
  <si>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</si>
  <si>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</si>
  <si>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</si>
  <si>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</si>
  <si>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</si>
  <si>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</si>
  <si>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</si>
  <si>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</si>
  <si>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</si>
  <si>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</si>
  <si>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</si>
  <si>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</si>
  <si>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</si>
  <si>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</si>
  <si>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</si>
  <si>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</si>
  <si>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</si>
  <si>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</si>
  <si>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</si>
  <si>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</si>
  <si>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</si>
  <si>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</si>
  <si>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</si>
  <si>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176 796 473</t>
  </si>
  <si>
    <t>176 922 956</t>
  </si>
  <si>
    <t>100,07</t>
  </si>
  <si>
    <t>I. Készletek</t>
  </si>
  <si>
    <t>B/I</t>
  </si>
  <si>
    <t>II. Értékpapírok</t>
  </si>
  <si>
    <t>B/II</t>
  </si>
  <si>
    <t>C/ PÉNZESZKÖZÖK</t>
  </si>
  <si>
    <t>505 866 140</t>
  </si>
  <si>
    <t>489 603 987</t>
  </si>
  <si>
    <t>96,79</t>
  </si>
  <si>
    <t>I. Lekötött bankbetétek</t>
  </si>
  <si>
    <t>C/I</t>
  </si>
  <si>
    <t>II. Pénztárak, csekkek, betétkönyvek</t>
  </si>
  <si>
    <t>C/II</t>
  </si>
  <si>
    <t>1 515 575</t>
  </si>
  <si>
    <t>1 299 845</t>
  </si>
  <si>
    <t>85,77</t>
  </si>
  <si>
    <t>III. Forintszámlák</t>
  </si>
  <si>
    <t>C/III</t>
  </si>
  <si>
    <t>504 350 565</t>
  </si>
  <si>
    <t>488 304 142</t>
  </si>
  <si>
    <t>96,82</t>
  </si>
  <si>
    <t>IV. Devizaszámlák</t>
  </si>
  <si>
    <t>C/IV</t>
  </si>
  <si>
    <t>D/ KÖVETELÉSEK</t>
  </si>
  <si>
    <t>167 379 108</t>
  </si>
  <si>
    <t>208 913 444</t>
  </si>
  <si>
    <t>124,81</t>
  </si>
  <si>
    <t>I. Költségvetési évben esedékes követelések</t>
  </si>
  <si>
    <t>D/I</t>
  </si>
  <si>
    <t>74 392 391</t>
  </si>
  <si>
    <t>117 094 727</t>
  </si>
  <si>
    <t>157,40</t>
  </si>
  <si>
    <t>II. Költségvetési évet követően esedékes követelések</t>
  </si>
  <si>
    <t>D/II</t>
  </si>
  <si>
    <t>77 614 288</t>
  </si>
  <si>
    <t>82 435 948</t>
  </si>
  <si>
    <t>106,21</t>
  </si>
  <si>
    <t>III. Követelés jellegű sajátos elszámolások</t>
  </si>
  <si>
    <t>D/III</t>
  </si>
  <si>
    <t>15 372 429</t>
  </si>
  <si>
    <t>9 382 769</t>
  </si>
  <si>
    <t>61,04</t>
  </si>
  <si>
    <t>E/ EGYÉB SAJÁTOS ESZKÖZOLDALI ELSZÁMOLÁSOK</t>
  </si>
  <si>
    <t>-10 638 001</t>
  </si>
  <si>
    <t>909 304</t>
  </si>
  <si>
    <t>-8,55</t>
  </si>
  <si>
    <t>F/ AKTÍV IDŐBELI ELHATÁROLÁSOK</t>
  </si>
  <si>
    <t>ESZKÖZÖK ÖSSZESEN</t>
  </si>
  <si>
    <t>A+..+F</t>
  </si>
  <si>
    <t>7 280 035 588</t>
  </si>
  <si>
    <t>7 323 924 898</t>
  </si>
  <si>
    <t>100,60</t>
  </si>
  <si>
    <t>FORRÁSOK</t>
  </si>
  <si>
    <t>G/ SAJÁT TŐKE</t>
  </si>
  <si>
    <t>5 223 792 273</t>
  </si>
  <si>
    <t>5 209 006 952</t>
  </si>
  <si>
    <t>99,72</t>
  </si>
  <si>
    <t>I. Nemzeti vagyon induláskori értéke</t>
  </si>
  <si>
    <t>G/I</t>
  </si>
  <si>
    <t>1 801 242 944</t>
  </si>
  <si>
    <t>II. Nemzeti vagyon változásai</t>
  </si>
  <si>
    <t>G/II</t>
  </si>
  <si>
    <t>1 420 616 051</t>
  </si>
  <si>
    <t>1 434 641 766</t>
  </si>
  <si>
    <t>100,99</t>
  </si>
  <si>
    <t>III. Egyéb eszközök induláskori értéke és változásai</t>
  </si>
  <si>
    <t>G/III</t>
  </si>
  <si>
    <t>49 906 197</t>
  </si>
  <si>
    <t>49 932 024</t>
  </si>
  <si>
    <t>100,05</t>
  </si>
  <si>
    <t>IV. Felhalmozott eredmény</t>
  </si>
  <si>
    <t>G/IV</t>
  </si>
  <si>
    <t>1 900 566 542</t>
  </si>
  <si>
    <t>1 952 001 254</t>
  </si>
  <si>
    <t>102,71</t>
  </si>
  <si>
    <t>V. Eszközök értékhelyesbítésének forrása</t>
  </si>
  <si>
    <t>G/V</t>
  </si>
  <si>
    <t>VI. Mérleg szerinti eredmény</t>
  </si>
  <si>
    <t>G/VI</t>
  </si>
  <si>
    <t>51 460 539</t>
  </si>
  <si>
    <t>-28 811 036</t>
  </si>
  <si>
    <t>-55,99</t>
  </si>
  <si>
    <t>H/ KÖTELEZETTSÉGEK</t>
  </si>
  <si>
    <t>96 779 464</t>
  </si>
  <si>
    <t>59 387 745</t>
  </si>
  <si>
    <t>61,36</t>
  </si>
  <si>
    <t>I. Költségvetési évben esedékes kötelezettségek</t>
  </si>
  <si>
    <t>H/I</t>
  </si>
  <si>
    <t>53 016 943</t>
  </si>
  <si>
    <t>6 875 941</t>
  </si>
  <si>
    <t>12,97</t>
  </si>
  <si>
    <t>II. Költségvetési évet követően esedékes kötelezettségek</t>
  </si>
  <si>
    <t>H/II</t>
  </si>
  <si>
    <t>18 662 628</t>
  </si>
  <si>
    <t>17 918 748</t>
  </si>
  <si>
    <t>96,01</t>
  </si>
  <si>
    <t>III. Kötelezettség jellegű sajátos elszámolások</t>
  </si>
  <si>
    <t>H/III</t>
  </si>
  <si>
    <t>25 099 893</t>
  </si>
  <si>
    <t>34 593 056</t>
  </si>
  <si>
    <t>137,82</t>
  </si>
  <si>
    <t>I/ KINCSTÁRI SZÁMLAVEZETÉSSEL KAPCSOLATOS ELSZÁMOLÁSOK</t>
  </si>
  <si>
    <t>I</t>
  </si>
  <si>
    <t>J/ PASSZÍV IDŐBELI ELHATÁROLÁSOK (=K/1+K/2+K/3)</t>
  </si>
  <si>
    <t>J</t>
  </si>
  <si>
    <t>1 959 463 851</t>
  </si>
  <si>
    <t>2 055 530 201</t>
  </si>
  <si>
    <t>104,90</t>
  </si>
  <si>
    <t>FORRÁSOK ÖSSZESEN</t>
  </si>
  <si>
    <t>G+...+J</t>
  </si>
  <si>
    <t>MÉRLEGEN KÍVÜLI TÉTELEK</t>
  </si>
  <si>
    <t>L</t>
  </si>
  <si>
    <t>"0"-ra írt eszközök</t>
  </si>
  <si>
    <t>L/1</t>
  </si>
  <si>
    <t>Használatban lévő kisértékű immateriális javak, tárgyi eszközök</t>
  </si>
  <si>
    <t>L/2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</si>
  <si>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</si>
  <si>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</si>
  <si>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</si>
  <si>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</si>
  <si>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384 539 371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</si>
  <si>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</si>
  <si>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</si>
  <si>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</si>
  <si>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</si>
  <si>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Függő kötelezettségek</t>
  </si>
  <si>
    <t>L/7</t>
  </si>
  <si>
    <t>-150 000 000</t>
  </si>
  <si>
    <t>Biztos (jövőbeni) követelések</t>
  </si>
  <si>
    <t>L/8</t>
  </si>
  <si>
    <t>Partner</t>
  </si>
  <si>
    <t>Adatok Ft-ban</t>
  </si>
  <si>
    <t>Pestterv Kft.</t>
  </si>
  <si>
    <t>Beruházások és felújítások 2018. év</t>
  </si>
  <si>
    <t>Intézmény</t>
  </si>
  <si>
    <t>Önkormányzat</t>
  </si>
  <si>
    <t>PH</t>
  </si>
  <si>
    <t>Magyar Posta Zrt.</t>
  </si>
  <si>
    <t>kártyaolvasó</t>
  </si>
  <si>
    <t>Péter Zoltán EV</t>
  </si>
  <si>
    <t>PH összesen</t>
  </si>
  <si>
    <t>WAMKK összesen</t>
  </si>
  <si>
    <t>KONYHA</t>
  </si>
  <si>
    <t>Elektriko Kft.</t>
  </si>
  <si>
    <t>KONYHA összesen</t>
  </si>
  <si>
    <t>Óvoda</t>
  </si>
  <si>
    <t>Óvoda összesen</t>
  </si>
  <si>
    <t>Dr. Gáspár</t>
  </si>
  <si>
    <t>Dr.Gáspár összesen</t>
  </si>
  <si>
    <t>Bölcsőde</t>
  </si>
  <si>
    <t>Bölcsőde összesen</t>
  </si>
  <si>
    <t xml:space="preserve">Egyeztetés </t>
  </si>
  <si>
    <t>Eltérés</t>
  </si>
  <si>
    <t>K6 önk és intézmények összesen</t>
  </si>
  <si>
    <t>K7 önk és intézmények összesen</t>
  </si>
  <si>
    <t>szeletelőgép</t>
  </si>
  <si>
    <t>olajsütő</t>
  </si>
  <si>
    <t>laptop Asus VivoBook Max</t>
  </si>
  <si>
    <t>kávéfőző</t>
  </si>
  <si>
    <t>húsőrlőgép</t>
  </si>
  <si>
    <t>Mercedes Sprinter tehergépjármű (MGJ-120)</t>
  </si>
  <si>
    <t>Zanussi hűtő, Beko kerámia főzőlap, Beko beépíthető sütő</t>
  </si>
  <si>
    <t>asztali sütőlap elektromos</t>
  </si>
  <si>
    <t>GASZTROKER Konyhatechnikai Kft.</t>
  </si>
  <si>
    <t>USN Trade Hungary Kft.</t>
  </si>
  <si>
    <t>Mamut '78 Kereskedelmi Bt.</t>
  </si>
  <si>
    <t>W.G.R. Fuvarozó és Keseskedelmi Kft.</t>
  </si>
  <si>
    <t>Planning &amp; Trading Kft.</t>
  </si>
  <si>
    <t>notebook Dell Vostro</t>
  </si>
  <si>
    <t>ütőhangszer</t>
  </si>
  <si>
    <t>vetítővászon</t>
  </si>
  <si>
    <t>Mezzoforte Hangszerbolt</t>
  </si>
  <si>
    <t>Vitech Integrátor Kft.</t>
  </si>
  <si>
    <t>METISZ-Tomker Kft.</t>
  </si>
  <si>
    <t>WD 4 Premium porszívó</t>
  </si>
  <si>
    <t>MS E-Commerce Kft.</t>
  </si>
  <si>
    <t>Candy Mosogatógép</t>
  </si>
  <si>
    <t>Savaria hûtõgép</t>
  </si>
  <si>
    <t>Whirlpool mosógép</t>
  </si>
  <si>
    <t>Planning &amp;amp; Trading Kft.</t>
  </si>
  <si>
    <t>Beko beépíthetõ kerámia fõzõlap és sütõ</t>
  </si>
  <si>
    <t>Asus VivoBook Max X541NA</t>
  </si>
  <si>
    <t>Lenovo IdeaPad (2db)</t>
  </si>
  <si>
    <t>RH SOUND HU Kft.</t>
  </si>
  <si>
    <t>Aktív hangfal, hangfalállvány</t>
  </si>
  <si>
    <t>Giant Kereskedelmi és Szolgáltató Kft</t>
  </si>
  <si>
    <t>Kiss Csapágy Kft.</t>
  </si>
  <si>
    <t>Karcher WD2 Home porszívó</t>
  </si>
  <si>
    <t>Extreme Digital Zrt.</t>
  </si>
  <si>
    <t>vasaló, hûtõszekrény</t>
  </si>
  <si>
    <t>Auchan Magyarország Kft</t>
  </si>
  <si>
    <t>Electrolux mosógép</t>
  </si>
  <si>
    <t>LEMABA Kft</t>
  </si>
  <si>
    <t>Alubetétes hinták</t>
  </si>
  <si>
    <t>tanulobicikli.hu Kft.</t>
  </si>
  <si>
    <t>Tanuló biciklik (11db)</t>
  </si>
  <si>
    <t>NATURE STONE Kft.</t>
  </si>
  <si>
    <t>Rugós ló</t>
  </si>
  <si>
    <t>Furlab Kft</t>
  </si>
  <si>
    <t>Konferencia asztalok (7db)</t>
  </si>
  <si>
    <t>Góbé Sport sportszergyártó és forgalmazó Kft</t>
  </si>
  <si>
    <t>Rugós játék fóka, rugós lóhere</t>
  </si>
  <si>
    <t>Tanuló biciklik (3db)</t>
  </si>
  <si>
    <t>Infosec E3 LCD RT - 3000 VA szünetmentes tápegység</t>
  </si>
  <si>
    <t>Leziter Kft.</t>
  </si>
  <si>
    <t>METRO Kereskedelmi Kft.</t>
  </si>
  <si>
    <t>Szék (4db)</t>
  </si>
  <si>
    <t>LD Systems mikrofon, mikrofon állvány Kincses Kultúróvoda</t>
  </si>
  <si>
    <t>Szék, 9 darab</t>
  </si>
  <si>
    <t>TAK módosítás 1. sz. résszámla</t>
  </si>
  <si>
    <t>HE-DO Kft.</t>
  </si>
  <si>
    <t>Belterületi utak építése Erkel F. u.  és Szt. István tér Rév</t>
  </si>
  <si>
    <t>SKS Terv Mérnökiroda Kft.</t>
  </si>
  <si>
    <t>Csapadék csatorna tervek Szent István tér</t>
  </si>
  <si>
    <t>Útépítés és felújítás</t>
  </si>
  <si>
    <t>Folyamat Éptõipari Kft.</t>
  </si>
  <si>
    <t>Felújítási munkák szerzõdés szerint</t>
  </si>
  <si>
    <t>Zborai Balázs László</t>
  </si>
  <si>
    <t>Sülysápi belterület 3956/13. Hrsz vásárlása</t>
  </si>
  <si>
    <t>L-TERVEZ KFT</t>
  </si>
  <si>
    <t xml:space="preserve">Raktárépület engedélyeztetési terve0406/36. hrsz. I. ütem </t>
  </si>
  <si>
    <t>AOP-Civil Bt.</t>
  </si>
  <si>
    <t>mûszaki ellenõrzés</t>
  </si>
  <si>
    <t>Raktárépület engedélyeztetési terveKivitelezési tervdokument</t>
  </si>
  <si>
    <t>Polytechnic-Light Kft.</t>
  </si>
  <si>
    <t>Közvilágítás tervezés és kivitelezés a sápi temetõ parkolójá</t>
  </si>
  <si>
    <t>Monographic Kft.</t>
  </si>
  <si>
    <t>Kerékpár út tervezés elkészítés</t>
  </si>
  <si>
    <t>Balázs Gergely</t>
  </si>
  <si>
    <t>Sülysáp belterület 3889 HRSZ ingatlan vásárlás</t>
  </si>
  <si>
    <t>Csapadék csatorna tervek Szent István térIpartelepi út építé</t>
  </si>
  <si>
    <t>REVEZ Bt.</t>
  </si>
  <si>
    <t>Iparterület víz és csatorna bekötési tervezési díja</t>
  </si>
  <si>
    <t>Otthon 66 Kft.</t>
  </si>
  <si>
    <t>egészségközpont kivitelezési terveinek elkészítése</t>
  </si>
  <si>
    <t>Ipartelepi út építési terve</t>
  </si>
  <si>
    <t>Sülysáp Játszótér közvilágítás</t>
  </si>
  <si>
    <t>Office Plaza Kft</t>
  </si>
  <si>
    <t>Várótermi székek beszerzés</t>
  </si>
  <si>
    <t>Woodfolio Trade Kft.</t>
  </si>
  <si>
    <t>Tárgyi eszköz beszerzés bölcsõde</t>
  </si>
  <si>
    <t>Magyar Telekom Nyrt</t>
  </si>
  <si>
    <t xml:space="preserve">telefon készülék </t>
  </si>
  <si>
    <t>Atonde-Dierct Kft</t>
  </si>
  <si>
    <t>Vadkamera</t>
  </si>
  <si>
    <t>Mûszaki-Pont 2009 Kft.</t>
  </si>
  <si>
    <t>Piac beruházás (kézszárító)</t>
  </si>
  <si>
    <t>Szafari Sport Kft</t>
  </si>
  <si>
    <t>Versenyröplabda háló beszerzése</t>
  </si>
  <si>
    <t>Kézszárító</t>
  </si>
  <si>
    <t>Lifttechnika Kft.</t>
  </si>
  <si>
    <t>Vasút u 28 hatósági, tervek, mûszaki dokumentációk díjai</t>
  </si>
  <si>
    <t>Atonde-Direct Kft.</t>
  </si>
  <si>
    <t>HUDÁK Kft.</t>
  </si>
  <si>
    <t>Közfoglalkoztatáshoz kapcsolódó költségek (egyéb eszköz besz</t>
  </si>
  <si>
    <t>Valcol Kft.</t>
  </si>
  <si>
    <t>Hulladék gyûjtõ beszerzés</t>
  </si>
  <si>
    <t>Philips Senseo kávéfõzõ</t>
  </si>
  <si>
    <t>AGRO-BOMA Mezõgép Kft.</t>
  </si>
  <si>
    <t>Szerzõdés szerinti traktor vásárlás</t>
  </si>
  <si>
    <t>Önkormányzat beruházás összesen</t>
  </si>
  <si>
    <t>Önkormányzat és intézményei beruházások összesen:</t>
  </si>
  <si>
    <t>Önkormányzat beruházási áfa összesen</t>
  </si>
  <si>
    <t>Konyha beruházási áfa összesen</t>
  </si>
  <si>
    <t>Kiss Sándor</t>
  </si>
  <si>
    <t>Óvoda villámvédelmi kivitelezés tervezése</t>
  </si>
  <si>
    <t>Tempo Plan Kft</t>
  </si>
  <si>
    <t>Sápi óvoda felújítási munkálatok tervezési költségeiÉpületgé</t>
  </si>
  <si>
    <t>L-TERVEZ Kft.</t>
  </si>
  <si>
    <t>Kiviteli tervdokumentáció (Közbeszerzési)</t>
  </si>
  <si>
    <t>TÁVÜSZ Kft.</t>
  </si>
  <si>
    <t xml:space="preserve">Utólagos vízszigetelés Dózsa gy. u. 105. </t>
  </si>
  <si>
    <t>Varga Imre</t>
  </si>
  <si>
    <t>Elõ tetõ felújítás konyha</t>
  </si>
  <si>
    <t>Gazsi és Gazsi Kft.</t>
  </si>
  <si>
    <t>Dózsa György u. 107 Óvoda felújítási munkálatai szerzõdés sz</t>
  </si>
  <si>
    <t>PH beruházási ÁFA összesen</t>
  </si>
  <si>
    <t>WAMKK beruházási ÁFA összesen:</t>
  </si>
  <si>
    <t>Önkormányzat felújítási ÁFA összesen:</t>
  </si>
  <si>
    <t>Önkormányzat felújítás összesen</t>
  </si>
  <si>
    <t>Önkormányzat és intézményei felújítások összesen:</t>
  </si>
  <si>
    <t>FELÚJÍTÁSOK</t>
  </si>
  <si>
    <t>Óvoda beruházási ÁFA összesen:</t>
  </si>
  <si>
    <t>Bölcsőde beruházási ÁFA összesen:</t>
  </si>
  <si>
    <t>Dr.Gáspár beruházási ÁFA összesen:</t>
  </si>
  <si>
    <t>KÖZVIL részvény 1 hó (2014. évi javítás)</t>
  </si>
  <si>
    <t>Főkönyv összesített sorok</t>
  </si>
  <si>
    <t>F-oszlop</t>
  </si>
  <si>
    <t>előző évi maradvány-érték szorzója</t>
  </si>
  <si>
    <t>Bevétel</t>
  </si>
  <si>
    <t xml:space="preserve">Kiadás </t>
  </si>
  <si>
    <t>Működési és felhalmozási bevételek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</si>
</sst>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  <numFmt numFmtId="166" formatCode="_-* #,##0\ &quot;Ft&quot;_-;\-* #,##0\ &quot;Ft&quot;_-;_-* &quot;-&quot;??\ &quot;Ft&quot;_-;_-@_-"/>
    <numFmt numFmtId="167" formatCode="#,###"/>
    <numFmt numFmtId="168" formatCode="#,##0&quot; Ft&quot;;[Red]\-#,##0&quot; Ft&quot;"/>
  </numFmts>
  <fonts count="10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name val="Arial"/>
      <family val="2"/>
      <charset val="238"/>
    </font>
    <font>
      <b/>
      <u val="singleAccounting"/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i/>
      <sz val="9"/>
      <name val="Arial"/>
      <family val="2"/>
      <charset val="238"/>
    </font>
    <font>
      <b/>
      <sz val="16"/>
      <name val="Arial"/>
      <family val="2"/>
      <charset val="238"/>
    </font>
    <font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u/>
      <sz val="9"/>
      <name val="Arial"/>
      <family val="2"/>
      <charset val="238"/>
    </font>
    <font>
      <b/>
      <sz val="20"/>
      <name val="Arial"/>
      <family val="2"/>
      <charset val="238"/>
    </font>
    <font>
      <b/>
      <sz val="8"/>
      <color indexed="8"/>
      <name val="Arial"/>
      <family val="2"/>
      <charset val="238"/>
    </font>
    <font>
      <i/>
      <sz val="8"/>
      <name val="Arial"/>
      <family val="2"/>
      <charset val="238"/>
    </font>
    <font>
      <sz val="20"/>
      <name val="Arial"/>
      <family val="2"/>
      <charset val="238"/>
    </font>
    <font>
      <sz val="1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u/>
      <sz val="10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i/>
      <u/>
      <sz val="9"/>
      <color rgb="FFFF0000"/>
      <name val="Arial"/>
      <family val="2"/>
      <charset val="238"/>
    </font>
    <font>
      <sz val="9.5"/>
      <color indexed="8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i/>
      <sz val="8"/>
      <color theme="0"/>
      <name val="Arial"/>
      <family val="2"/>
      <charset val="238"/>
    </font>
    <font>
      <i/>
      <sz val="6"/>
      <color theme="0"/>
      <name val="Arial"/>
      <family val="2"/>
      <charset val="238"/>
    </font>
    <font>
      <i/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 CE"/>
      <family val="2"/>
      <charset val="238"/>
    </font>
    <font>
      <b/>
      <sz val="16"/>
      <name val="Arial CE"/>
      <family val="2"/>
      <charset val="238"/>
    </font>
    <font>
      <sz val="10"/>
      <name val="Arial CE"/>
      <family val="2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i/>
      <sz val="10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sz val="9"/>
      <name val="Arial CE"/>
      <family val="2"/>
      <charset val="238"/>
    </font>
    <font>
      <sz val="10"/>
      <color rgb="FF000000"/>
      <name val="Arial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i/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22"/>
      </patternFill>
    </fill>
  </fills>
  <borders count="1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7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1" borderId="0" applyNumberFormat="0" applyBorder="0" applyAlignment="0" applyProtection="0"/>
    <xf numFmtId="0" fontId="54" fillId="26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5" borderId="0" applyNumberFormat="0" applyBorder="0" applyAlignment="0" applyProtection="0"/>
    <xf numFmtId="0" fontId="55" fillId="30" borderId="0" applyNumberFormat="0" applyBorder="0" applyAlignment="0" applyProtection="0"/>
    <xf numFmtId="0" fontId="55" fillId="33" borderId="0" applyNumberFormat="0" applyBorder="0" applyAlignment="0" applyProtection="0"/>
    <xf numFmtId="0" fontId="56" fillId="23" borderId="41" applyNumberFormat="0" applyAlignment="0" applyProtection="0"/>
    <xf numFmtId="0" fontId="57" fillId="0" borderId="0" applyNumberFormat="0" applyFill="0" applyBorder="0" applyAlignment="0" applyProtection="0"/>
    <xf numFmtId="0" fontId="58" fillId="0" borderId="42" applyNumberFormat="0" applyFill="0" applyAlignment="0" applyProtection="0"/>
    <xf numFmtId="0" fontId="59" fillId="0" borderId="43" applyNumberFormat="0" applyFill="0" applyAlignment="0" applyProtection="0"/>
    <xf numFmtId="0" fontId="60" fillId="0" borderId="44" applyNumberFormat="0" applyFill="0" applyAlignment="0" applyProtection="0"/>
    <xf numFmtId="0" fontId="60" fillId="0" borderId="0" applyNumberFormat="0" applyFill="0" applyBorder="0" applyAlignment="0" applyProtection="0"/>
    <xf numFmtId="0" fontId="61" fillId="34" borderId="45" applyNumberFormat="0" applyAlignment="0" applyProtection="0"/>
    <xf numFmtId="43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6" applyNumberFormat="0" applyFill="0" applyAlignment="0" applyProtection="0"/>
    <xf numFmtId="0" fontId="53" fillId="35" borderId="47" applyNumberFormat="0" applyFont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4" borderId="0" applyNumberFormat="0" applyBorder="0" applyAlignment="0" applyProtection="0"/>
    <xf numFmtId="0" fontId="55" fillId="29" borderId="0" applyNumberFormat="0" applyBorder="0" applyAlignment="0" applyProtection="0"/>
    <xf numFmtId="0" fontId="55" fillId="16" borderId="0" applyNumberFormat="0" applyBorder="0" applyAlignment="0" applyProtection="0"/>
    <xf numFmtId="0" fontId="55" fillId="24" borderId="0" applyNumberFormat="0" applyBorder="0" applyAlignment="0" applyProtection="0"/>
    <xf numFmtId="0" fontId="64" fillId="20" borderId="0" applyNumberFormat="0" applyBorder="0" applyAlignment="0" applyProtection="0"/>
    <xf numFmtId="0" fontId="65" fillId="36" borderId="48" applyNumberFormat="0" applyAlignment="0" applyProtection="0"/>
    <xf numFmtId="0" fontId="66" fillId="0" borderId="0" applyNumberFormat="0" applyFill="0" applyBorder="0" applyAlignment="0" applyProtection="0"/>
    <xf numFmtId="0" fontId="54" fillId="0" borderId="0"/>
    <xf numFmtId="0" fontId="67" fillId="0" borderId="49" applyNumberFormat="0" applyFill="0" applyAlignment="0" applyProtection="0"/>
    <xf numFmtId="0" fontId="68" fillId="19" borderId="0" applyNumberFormat="0" applyBorder="0" applyAlignment="0" applyProtection="0"/>
    <xf numFmtId="0" fontId="69" fillId="37" borderId="0" applyNumberFormat="0" applyBorder="0" applyAlignment="0" applyProtection="0"/>
    <xf numFmtId="0" fontId="70" fillId="36" borderId="41" applyNumberFormat="0" applyAlignment="0" applyProtection="0"/>
    <xf numFmtId="44" fontId="74" fillId="0" borderId="0" applyFont="0" applyFill="0" applyBorder="0" applyAlignment="0" applyProtection="0"/>
    <xf numFmtId="0" fontId="80" fillId="0" borderId="0"/>
    <xf numFmtId="0" fontId="54" fillId="0" borderId="0"/>
    <xf numFmtId="0" fontId="101" fillId="0" borderId="0"/>
  </cellStyleXfs>
  <cellXfs count="119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0" fillId="0" borderId="0" xfId="0" applyFill="1"/>
    <xf numFmtId="164" fontId="0" fillId="0" borderId="0" xfId="1" applyNumberFormat="1" applyFont="1" applyBorder="1"/>
    <xf numFmtId="0" fontId="7" fillId="0" borderId="0" xfId="0" applyFont="1"/>
    <xf numFmtId="0" fontId="7" fillId="0" borderId="1" xfId="0" applyFont="1" applyBorder="1"/>
    <xf numFmtId="164" fontId="7" fillId="0" borderId="1" xfId="1" applyNumberFormat="1" applyFont="1" applyBorder="1"/>
    <xf numFmtId="164" fontId="7" fillId="0" borderId="0" xfId="1" applyNumberFormat="1" applyFont="1"/>
    <xf numFmtId="164" fontId="7" fillId="0" borderId="0" xfId="0" applyNumberFormat="1" applyFont="1"/>
    <xf numFmtId="0" fontId="7" fillId="0" borderId="1" xfId="0" applyFont="1" applyBorder="1" applyAlignment="1">
      <alignment wrapText="1"/>
    </xf>
    <xf numFmtId="0" fontId="7" fillId="0" borderId="0" xfId="0" applyFont="1" applyBorder="1"/>
    <xf numFmtId="164" fontId="7" fillId="0" borderId="0" xfId="1" applyNumberFormat="1" applyFont="1" applyBorder="1"/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0" fontId="9" fillId="0" borderId="0" xfId="0" applyFont="1"/>
    <xf numFmtId="9" fontId="3" fillId="2" borderId="1" xfId="3" applyFont="1" applyFill="1" applyBorder="1"/>
    <xf numFmtId="9" fontId="0" fillId="0" borderId="0" xfId="3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/>
    <xf numFmtId="0" fontId="5" fillId="0" borderId="1" xfId="0" applyFont="1" applyBorder="1" applyAlignment="1">
      <alignment wrapText="1"/>
    </xf>
    <xf numFmtId="0" fontId="0" fillId="0" borderId="0" xfId="0" applyBorder="1"/>
    <xf numFmtId="0" fontId="4" fillId="5" borderId="1" xfId="0" applyFont="1" applyFill="1" applyBorder="1" applyAlignment="1">
      <alignment wrapText="1"/>
    </xf>
    <xf numFmtId="0" fontId="5" fillId="4" borderId="0" xfId="0" applyFont="1" applyFill="1"/>
    <xf numFmtId="0" fontId="3" fillId="5" borderId="1" xfId="0" applyFont="1" applyFill="1" applyBorder="1" applyAlignment="1">
      <alignment wrapText="1"/>
    </xf>
    <xf numFmtId="164" fontId="0" fillId="0" borderId="0" xfId="3" applyNumberFormat="1" applyFont="1"/>
    <xf numFmtId="9" fontId="3" fillId="0" borderId="0" xfId="3" applyFont="1"/>
    <xf numFmtId="0" fontId="1" fillId="0" borderId="0" xfId="0" applyFont="1"/>
    <xf numFmtId="0" fontId="3" fillId="0" borderId="7" xfId="0" applyFont="1" applyBorder="1" applyAlignment="1">
      <alignment horizontal="center"/>
    </xf>
    <xf numFmtId="3" fontId="7" fillId="0" borderId="1" xfId="1" applyNumberFormat="1" applyFont="1" applyBorder="1"/>
    <xf numFmtId="3" fontId="8" fillId="0" borderId="1" xfId="1" applyNumberFormat="1" applyFont="1" applyBorder="1"/>
    <xf numFmtId="165" fontId="8" fillId="0" borderId="1" xfId="1" applyNumberFormat="1" applyFont="1" applyBorder="1"/>
    <xf numFmtId="3" fontId="3" fillId="0" borderId="5" xfId="0" applyNumberFormat="1" applyFont="1" applyBorder="1" applyAlignment="1">
      <alignment horizontal="center"/>
    </xf>
    <xf numFmtId="3" fontId="7" fillId="0" borderId="1" xfId="1" applyNumberFormat="1" applyFont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3" fontId="7" fillId="0" borderId="0" xfId="1" applyNumberFormat="1" applyFont="1"/>
    <xf numFmtId="3" fontId="7" fillId="0" borderId="0" xfId="0" applyNumberFormat="1" applyFont="1"/>
    <xf numFmtId="9" fontId="3" fillId="2" borderId="2" xfId="3" applyFont="1" applyFill="1" applyBorder="1"/>
    <xf numFmtId="9" fontId="7" fillId="0" borderId="2" xfId="3" applyFont="1" applyBorder="1"/>
    <xf numFmtId="3" fontId="0" fillId="0" borderId="0" xfId="0" applyNumberFormat="1"/>
    <xf numFmtId="3" fontId="20" fillId="0" borderId="0" xfId="0" applyNumberFormat="1" applyFont="1"/>
    <xf numFmtId="3" fontId="22" fillId="0" borderId="2" xfId="0" applyNumberFormat="1" applyFont="1" applyFill="1" applyBorder="1" applyAlignment="1">
      <alignment horizontal="center"/>
    </xf>
    <xf numFmtId="3" fontId="23" fillId="7" borderId="2" xfId="0" applyNumberFormat="1" applyFont="1" applyFill="1" applyBorder="1" applyAlignment="1">
      <alignment horizontal="center"/>
    </xf>
    <xf numFmtId="3" fontId="3" fillId="0" borderId="0" xfId="0" applyNumberFormat="1" applyFont="1"/>
    <xf numFmtId="0" fontId="1" fillId="0" borderId="0" xfId="0" applyFont="1" applyFill="1"/>
    <xf numFmtId="0" fontId="24" fillId="3" borderId="1" xfId="0" applyFont="1" applyFill="1" applyBorder="1" applyAlignment="1">
      <alignment horizontal="center" vertical="center" textRotation="90" wrapText="1"/>
    </xf>
    <xf numFmtId="9" fontId="4" fillId="2" borderId="1" xfId="3" applyFont="1" applyFill="1" applyBorder="1"/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1" fillId="0" borderId="1" xfId="0" applyNumberFormat="1" applyFont="1" applyBorder="1"/>
    <xf numFmtId="9" fontId="15" fillId="0" borderId="1" xfId="3" applyFont="1" applyFill="1" applyBorder="1"/>
    <xf numFmtId="0" fontId="3" fillId="0" borderId="2" xfId="0" applyFont="1" applyBorder="1" applyAlignment="1">
      <alignment horizontal="center"/>
    </xf>
    <xf numFmtId="3" fontId="32" fillId="0" borderId="1" xfId="0" applyNumberFormat="1" applyFont="1" applyFill="1" applyBorder="1"/>
    <xf numFmtId="3" fontId="4" fillId="0" borderId="1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4" fillId="0" borderId="22" xfId="0" applyNumberFormat="1" applyFont="1" applyFill="1" applyBorder="1" applyAlignment="1">
      <alignment vertical="center"/>
    </xf>
    <xf numFmtId="3" fontId="7" fillId="0" borderId="10" xfId="1" applyNumberFormat="1" applyFont="1" applyBorder="1" applyAlignment="1">
      <alignment vertical="center"/>
    </xf>
    <xf numFmtId="3" fontId="7" fillId="0" borderId="1" xfId="1" applyNumberFormat="1" applyFont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3" fontId="3" fillId="9" borderId="1" xfId="1" applyNumberFormat="1" applyFont="1" applyFill="1" applyBorder="1" applyAlignment="1">
      <alignment horizontal="center" vertical="center" wrapText="1"/>
    </xf>
    <xf numFmtId="164" fontId="3" fillId="9" borderId="1" xfId="1" applyNumberFormat="1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 textRotation="90" wrapText="1"/>
    </xf>
    <xf numFmtId="0" fontId="25" fillId="9" borderId="1" xfId="0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3" fontId="20" fillId="0" borderId="6" xfId="0" applyNumberFormat="1" applyFont="1" applyBorder="1"/>
    <xf numFmtId="3" fontId="32" fillId="0" borderId="2" xfId="0" applyNumberFormat="1" applyFont="1" applyFill="1" applyBorder="1"/>
    <xf numFmtId="3" fontId="3" fillId="2" borderId="1" xfId="1" applyNumberFormat="1" applyFont="1" applyFill="1" applyBorder="1" applyAlignment="1"/>
    <xf numFmtId="3" fontId="7" fillId="0" borderId="1" xfId="1" applyNumberFormat="1" applyFont="1" applyBorder="1" applyAlignment="1"/>
    <xf numFmtId="0" fontId="36" fillId="0" borderId="0" xfId="0" applyFont="1" applyBorder="1" applyAlignment="1">
      <alignment horizontal="right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0" fillId="0" borderId="0" xfId="0" applyFont="1" applyBorder="1" applyAlignment="1"/>
    <xf numFmtId="0" fontId="36" fillId="0" borderId="0" xfId="0" applyFont="1" applyBorder="1" applyAlignment="1">
      <alignment vertical="center"/>
    </xf>
    <xf numFmtId="0" fontId="36" fillId="0" borderId="0" xfId="0" applyFont="1" applyBorder="1" applyAlignment="1"/>
    <xf numFmtId="0" fontId="7" fillId="8" borderId="1" xfId="0" applyFont="1" applyFill="1" applyBorder="1" applyAlignment="1">
      <alignment vertical="center"/>
    </xf>
    <xf numFmtId="3" fontId="14" fillId="8" borderId="1" xfId="0" applyNumberFormat="1" applyFont="1" applyFill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0" fontId="8" fillId="0" borderId="19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32" fillId="8" borderId="1" xfId="0" applyFont="1" applyFill="1" applyBorder="1" applyAlignment="1">
      <alignment vertical="center" wrapText="1"/>
    </xf>
    <xf numFmtId="3" fontId="32" fillId="8" borderId="1" xfId="0" applyNumberFormat="1" applyFont="1" applyFill="1" applyBorder="1" applyAlignment="1">
      <alignment vertical="center"/>
    </xf>
    <xf numFmtId="9" fontId="33" fillId="8" borderId="1" xfId="3" applyFont="1" applyFill="1" applyBorder="1" applyAlignment="1">
      <alignment vertical="center"/>
    </xf>
    <xf numFmtId="9" fontId="3" fillId="8" borderId="1" xfId="3" applyFont="1" applyFill="1" applyBorder="1" applyAlignment="1">
      <alignment vertical="center"/>
    </xf>
    <xf numFmtId="3" fontId="20" fillId="0" borderId="8" xfId="0" applyNumberFormat="1" applyFont="1" applyBorder="1" applyAlignment="1">
      <alignment vertical="center"/>
    </xf>
    <xf numFmtId="0" fontId="32" fillId="2" borderId="1" xfId="0" applyFont="1" applyFill="1" applyBorder="1" applyAlignment="1">
      <alignment wrapText="1"/>
    </xf>
    <xf numFmtId="3" fontId="32" fillId="2" borderId="1" xfId="1" applyNumberFormat="1" applyFont="1" applyFill="1" applyBorder="1"/>
    <xf numFmtId="0" fontId="12" fillId="2" borderId="1" xfId="0" applyFont="1" applyFill="1" applyBorder="1" applyAlignment="1">
      <alignment wrapText="1"/>
    </xf>
    <xf numFmtId="3" fontId="12" fillId="2" borderId="1" xfId="1" applyNumberFormat="1" applyFont="1" applyFill="1" applyBorder="1"/>
    <xf numFmtId="3" fontId="21" fillId="0" borderId="22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2" borderId="1" xfId="1" applyNumberFormat="1" applyFont="1" applyFill="1" applyBorder="1" applyAlignment="1">
      <alignment horizontal="right"/>
    </xf>
    <xf numFmtId="3" fontId="7" fillId="0" borderId="1" xfId="1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3" fillId="0" borderId="1" xfId="1" applyNumberFormat="1" applyFont="1" applyBorder="1" applyAlignment="1"/>
    <xf numFmtId="3" fontId="7" fillId="0" borderId="0" xfId="1" applyNumberFormat="1" applyFont="1" applyAlignment="1"/>
    <xf numFmtId="3" fontId="7" fillId="0" borderId="0" xfId="0" applyNumberFormat="1" applyFont="1" applyAlignment="1"/>
    <xf numFmtId="0" fontId="9" fillId="0" borderId="10" xfId="0" applyFont="1" applyBorder="1"/>
    <xf numFmtId="0" fontId="9" fillId="0" borderId="10" xfId="0" applyFont="1" applyBorder="1" applyAlignment="1">
      <alignment wrapText="1"/>
    </xf>
    <xf numFmtId="3" fontId="7" fillId="0" borderId="10" xfId="1" applyNumberFormat="1" applyFont="1" applyBorder="1" applyAlignment="1">
      <alignment horizontal="right"/>
    </xf>
    <xf numFmtId="3" fontId="7" fillId="0" borderId="10" xfId="1" applyNumberFormat="1" applyFont="1" applyBorder="1" applyAlignment="1"/>
    <xf numFmtId="3" fontId="36" fillId="0" borderId="0" xfId="0" applyNumberFormat="1" applyFont="1" applyBorder="1" applyAlignment="1">
      <alignment vertical="center"/>
    </xf>
    <xf numFmtId="3" fontId="1" fillId="0" borderId="1" xfId="1" applyNumberFormat="1" applyFont="1" applyFill="1" applyBorder="1" applyAlignment="1">
      <alignment horizontal="right"/>
    </xf>
    <xf numFmtId="3" fontId="8" fillId="0" borderId="1" xfId="1" applyNumberFormat="1" applyFont="1" applyBorder="1" applyAlignment="1"/>
    <xf numFmtId="3" fontId="7" fillId="0" borderId="2" xfId="0" applyNumberFormat="1" applyFont="1" applyBorder="1" applyAlignment="1"/>
    <xf numFmtId="3" fontId="7" fillId="0" borderId="2" xfId="1" applyNumberFormat="1" applyFont="1" applyBorder="1" applyAlignment="1"/>
    <xf numFmtId="3" fontId="4" fillId="2" borderId="1" xfId="1" applyNumberFormat="1" applyFont="1" applyFill="1" applyBorder="1" applyAlignment="1"/>
    <xf numFmtId="3" fontId="7" fillId="0" borderId="2" xfId="1" applyNumberFormat="1" applyFont="1" applyBorder="1" applyAlignment="1">
      <alignment vertical="center"/>
    </xf>
    <xf numFmtId="3" fontId="7" fillId="0" borderId="1" xfId="1" applyNumberFormat="1" applyFont="1" applyFill="1" applyBorder="1" applyAlignment="1">
      <alignment vertical="center"/>
    </xf>
    <xf numFmtId="3" fontId="3" fillId="2" borderId="2" xfId="1" applyNumberFormat="1" applyFont="1" applyFill="1" applyBorder="1" applyAlignment="1">
      <alignment vertical="center"/>
    </xf>
    <xf numFmtId="3" fontId="3" fillId="2" borderId="1" xfId="1" applyNumberFormat="1" applyFont="1" applyFill="1" applyBorder="1" applyAlignment="1">
      <alignment vertical="center"/>
    </xf>
    <xf numFmtId="3" fontId="9" fillId="0" borderId="1" xfId="1" applyNumberFormat="1" applyFont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3" fontId="4" fillId="2" borderId="1" xfId="1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3" fillId="3" borderId="8" xfId="1" applyNumberFormat="1" applyFont="1" applyFill="1" applyBorder="1" applyAlignment="1">
      <alignment horizontal="center" vertical="center" wrapText="1"/>
    </xf>
    <xf numFmtId="0" fontId="32" fillId="8" borderId="0" xfId="0" applyFont="1" applyFill="1" applyBorder="1" applyAlignment="1">
      <alignment vertical="center" wrapText="1"/>
    </xf>
    <xf numFmtId="3" fontId="32" fillId="8" borderId="0" xfId="0" applyNumberFormat="1" applyFont="1" applyFill="1" applyBorder="1" applyAlignment="1">
      <alignment vertical="center"/>
    </xf>
    <xf numFmtId="3" fontId="14" fillId="8" borderId="0" xfId="0" applyNumberFormat="1" applyFont="1" applyFill="1" applyBorder="1" applyAlignment="1">
      <alignment vertical="center"/>
    </xf>
    <xf numFmtId="9" fontId="3" fillId="8" borderId="0" xfId="1" applyNumberFormat="1" applyFont="1" applyFill="1" applyBorder="1" applyAlignment="1">
      <alignment vertical="center"/>
    </xf>
    <xf numFmtId="9" fontId="33" fillId="8" borderId="0" xfId="3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 vertical="center" wrapText="1"/>
    </xf>
    <xf numFmtId="164" fontId="3" fillId="3" borderId="0" xfId="1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7" fillId="15" borderId="0" xfId="0" applyFont="1" applyFill="1" applyAlignment="1">
      <alignment wrapText="1"/>
    </xf>
    <xf numFmtId="3" fontId="7" fillId="15" borderId="0" xfId="1" applyNumberFormat="1" applyFont="1" applyFill="1"/>
    <xf numFmtId="3" fontId="7" fillId="15" borderId="0" xfId="0" applyNumberFormat="1" applyFont="1" applyFill="1"/>
    <xf numFmtId="0" fontId="25" fillId="2" borderId="1" xfId="0" applyFont="1" applyFill="1" applyBorder="1" applyAlignment="1">
      <alignment vertical="center" wrapText="1"/>
    </xf>
    <xf numFmtId="3" fontId="25" fillId="2" borderId="1" xfId="1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3" fontId="3" fillId="2" borderId="1" xfId="1" applyNumberFormat="1" applyFont="1" applyFill="1" applyBorder="1" applyAlignment="1">
      <alignment horizontal="right" vertical="center"/>
    </xf>
    <xf numFmtId="9" fontId="15" fillId="2" borderId="1" xfId="3" applyFont="1" applyFill="1" applyBorder="1" applyAlignment="1">
      <alignment vertical="center"/>
    </xf>
    <xf numFmtId="9" fontId="7" fillId="0" borderId="2" xfId="3" applyFont="1" applyBorder="1" applyAlignment="1">
      <alignment vertical="center"/>
    </xf>
    <xf numFmtId="3" fontId="20" fillId="0" borderId="6" xfId="0" applyNumberFormat="1" applyFont="1" applyBorder="1" applyAlignment="1">
      <alignment vertical="center"/>
    </xf>
    <xf numFmtId="3" fontId="25" fillId="2" borderId="1" xfId="1" applyNumberFormat="1" applyFont="1" applyFill="1" applyBorder="1" applyAlignment="1">
      <alignment vertical="center"/>
    </xf>
    <xf numFmtId="3" fontId="20" fillId="0" borderId="1" xfId="0" applyNumberFormat="1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0" fontId="1" fillId="0" borderId="1" xfId="0" applyFont="1" applyBorder="1" applyAlignment="1">
      <alignment wrapText="1"/>
    </xf>
    <xf numFmtId="3" fontId="32" fillId="8" borderId="7" xfId="0" applyNumberFormat="1" applyFont="1" applyFill="1" applyBorder="1" applyAlignment="1">
      <alignment vertical="center"/>
    </xf>
    <xf numFmtId="9" fontId="33" fillId="8" borderId="3" xfId="3" applyFont="1" applyFill="1" applyBorder="1" applyAlignment="1">
      <alignment vertical="center"/>
    </xf>
    <xf numFmtId="164" fontId="3" fillId="3" borderId="7" xfId="1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3" fontId="32" fillId="8" borderId="3" xfId="0" applyNumberFormat="1" applyFont="1" applyFill="1" applyBorder="1" applyAlignment="1">
      <alignment vertical="center"/>
    </xf>
    <xf numFmtId="3" fontId="3" fillId="3" borderId="7" xfId="0" applyNumberFormat="1" applyFont="1" applyFill="1" applyBorder="1" applyAlignment="1">
      <alignment horizontal="center" vertical="center" wrapText="1"/>
    </xf>
    <xf numFmtId="3" fontId="3" fillId="3" borderId="3" xfId="1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3" fontId="1" fillId="0" borderId="1" xfId="1" applyNumberFormat="1" applyFont="1" applyBorder="1" applyAlignment="1">
      <alignment vertical="center"/>
    </xf>
    <xf numFmtId="3" fontId="3" fillId="0" borderId="1" xfId="1" applyNumberFormat="1" applyFont="1" applyBorder="1" applyAlignment="1">
      <alignment vertical="center"/>
    </xf>
    <xf numFmtId="0" fontId="1" fillId="0" borderId="0" xfId="0" applyFont="1" applyAlignment="1">
      <alignment wrapText="1"/>
    </xf>
    <xf numFmtId="3" fontId="7" fillId="4" borderId="1" xfId="1" applyNumberFormat="1" applyFont="1" applyFill="1" applyBorder="1" applyAlignment="1">
      <alignment vertical="center"/>
    </xf>
    <xf numFmtId="3" fontId="7" fillId="4" borderId="1" xfId="0" applyNumberFormat="1" applyFont="1" applyFill="1" applyBorder="1" applyAlignment="1">
      <alignment vertical="center"/>
    </xf>
    <xf numFmtId="3" fontId="7" fillId="4" borderId="1" xfId="0" applyNumberFormat="1" applyFont="1" applyFill="1" applyBorder="1" applyAlignment="1">
      <alignment horizontal="right"/>
    </xf>
    <xf numFmtId="3" fontId="1" fillId="0" borderId="2" xfId="1" applyNumberFormat="1" applyFont="1" applyBorder="1" applyAlignment="1">
      <alignment vertical="center"/>
    </xf>
    <xf numFmtId="164" fontId="1" fillId="0" borderId="0" xfId="1" applyNumberFormat="1" applyFont="1"/>
    <xf numFmtId="3" fontId="7" fillId="4" borderId="1" xfId="1" applyNumberFormat="1" applyFont="1" applyFill="1" applyBorder="1" applyAlignment="1"/>
    <xf numFmtId="3" fontId="7" fillId="4" borderId="1" xfId="1" applyNumberFormat="1" applyFont="1" applyFill="1" applyBorder="1" applyAlignment="1">
      <alignment horizontal="right"/>
    </xf>
    <xf numFmtId="0" fontId="36" fillId="4" borderId="0" xfId="0" applyFont="1" applyFill="1" applyBorder="1" applyAlignment="1">
      <alignment vertical="center"/>
    </xf>
    <xf numFmtId="0" fontId="1" fillId="0" borderId="5" xfId="0" applyFont="1" applyBorder="1" applyAlignment="1">
      <alignment wrapText="1"/>
    </xf>
    <xf numFmtId="3" fontId="7" fillId="0" borderId="5" xfId="1" applyNumberFormat="1" applyFont="1" applyBorder="1"/>
    <xf numFmtId="164" fontId="2" fillId="0" borderId="0" xfId="1" applyNumberFormat="1" applyFont="1"/>
    <xf numFmtId="164" fontId="0" fillId="0" borderId="0" xfId="1" applyNumberFormat="1" applyFont="1"/>
    <xf numFmtId="0" fontId="76" fillId="0" borderId="1" xfId="0" applyFont="1" applyBorder="1" applyAlignment="1">
      <alignment horizontal="left" vertical="top" wrapText="1"/>
    </xf>
    <xf numFmtId="3" fontId="76" fillId="0" borderId="1" xfId="0" applyNumberFormat="1" applyFont="1" applyBorder="1" applyAlignment="1">
      <alignment horizontal="right" vertical="top" wrapText="1"/>
    </xf>
    <xf numFmtId="0" fontId="77" fillId="0" borderId="1" xfId="0" applyFont="1" applyBorder="1" applyAlignment="1">
      <alignment horizontal="left" vertical="top" wrapText="1"/>
    </xf>
    <xf numFmtId="3" fontId="77" fillId="0" borderId="1" xfId="0" applyNumberFormat="1" applyFont="1" applyBorder="1" applyAlignment="1">
      <alignment horizontal="right" vertical="top" wrapText="1"/>
    </xf>
    <xf numFmtId="0" fontId="76" fillId="0" borderId="10" xfId="0" applyFont="1" applyBorder="1" applyAlignment="1">
      <alignment horizontal="left" vertical="top" wrapText="1"/>
    </xf>
    <xf numFmtId="3" fontId="76" fillId="0" borderId="10" xfId="0" applyNumberFormat="1" applyFont="1" applyBorder="1" applyAlignment="1">
      <alignment horizontal="right" vertical="top" wrapText="1"/>
    </xf>
    <xf numFmtId="0" fontId="77" fillId="0" borderId="58" xfId="0" applyFont="1" applyBorder="1" applyAlignment="1">
      <alignment horizontal="center" vertical="top" wrapText="1"/>
    </xf>
    <xf numFmtId="0" fontId="77" fillId="0" borderId="59" xfId="0" applyFont="1" applyBorder="1" applyAlignment="1">
      <alignment horizontal="left" vertical="top" wrapText="1"/>
    </xf>
    <xf numFmtId="3" fontId="77" fillId="0" borderId="59" xfId="0" applyNumberFormat="1" applyFont="1" applyBorder="1" applyAlignment="1">
      <alignment horizontal="right" vertical="top" wrapText="1"/>
    </xf>
    <xf numFmtId="3" fontId="77" fillId="0" borderId="60" xfId="0" applyNumberFormat="1" applyFont="1" applyBorder="1" applyAlignment="1">
      <alignment horizontal="right" vertical="top" wrapText="1"/>
    </xf>
    <xf numFmtId="0" fontId="75" fillId="38" borderId="50" xfId="0" applyFont="1" applyFill="1" applyBorder="1" applyAlignment="1">
      <alignment horizontal="center" vertical="top" wrapText="1"/>
    </xf>
    <xf numFmtId="0" fontId="76" fillId="0" borderId="50" xfId="0" applyFont="1" applyBorder="1" applyAlignment="1">
      <alignment horizontal="center" vertical="top" wrapText="1"/>
    </xf>
    <xf numFmtId="3" fontId="76" fillId="0" borderId="17" xfId="0" applyNumberFormat="1" applyFont="1" applyBorder="1" applyAlignment="1">
      <alignment horizontal="right" vertical="top" wrapText="1"/>
    </xf>
    <xf numFmtId="0" fontId="77" fillId="0" borderId="50" xfId="0" applyFont="1" applyBorder="1" applyAlignment="1">
      <alignment horizontal="center" vertical="top" wrapText="1"/>
    </xf>
    <xf numFmtId="3" fontId="77" fillId="0" borderId="17" xfId="0" applyNumberFormat="1" applyFont="1" applyBorder="1" applyAlignment="1">
      <alignment horizontal="right" vertical="top" wrapText="1"/>
    </xf>
    <xf numFmtId="0" fontId="76" fillId="0" borderId="61" xfId="0" applyFont="1" applyBorder="1" applyAlignment="1">
      <alignment horizontal="center" vertical="top" wrapText="1"/>
    </xf>
    <xf numFmtId="3" fontId="76" fillId="0" borderId="62" xfId="0" applyNumberFormat="1" applyFont="1" applyBorder="1" applyAlignment="1">
      <alignment horizontal="right" vertical="top" wrapText="1"/>
    </xf>
    <xf numFmtId="0" fontId="76" fillId="0" borderId="57" xfId="0" applyFont="1" applyBorder="1" applyAlignment="1">
      <alignment horizontal="center" vertical="top" wrapText="1"/>
    </xf>
    <xf numFmtId="0" fontId="76" fillId="0" borderId="22" xfId="0" applyFont="1" applyBorder="1" applyAlignment="1">
      <alignment horizontal="left" vertical="top" wrapText="1"/>
    </xf>
    <xf numFmtId="3" fontId="76" fillId="0" borderId="22" xfId="0" applyNumberFormat="1" applyFont="1" applyBorder="1" applyAlignment="1">
      <alignment horizontal="right" vertical="top" wrapText="1"/>
    </xf>
    <xf numFmtId="3" fontId="76" fillId="0" borderId="63" xfId="0" applyNumberFormat="1" applyFont="1" applyBorder="1" applyAlignment="1">
      <alignment horizontal="right" vertical="top" wrapText="1"/>
    </xf>
    <xf numFmtId="0" fontId="75" fillId="38" borderId="51" xfId="0" applyFont="1" applyFill="1" applyBorder="1" applyAlignment="1">
      <alignment horizontal="center" vertical="top" wrapText="1"/>
    </xf>
    <xf numFmtId="0" fontId="75" fillId="38" borderId="52" xfId="0" applyFont="1" applyFill="1" applyBorder="1" applyAlignment="1">
      <alignment horizontal="center" vertical="top" wrapText="1"/>
    </xf>
    <xf numFmtId="0" fontId="75" fillId="38" borderId="53" xfId="0" applyFont="1" applyFill="1" applyBorder="1" applyAlignment="1">
      <alignment horizontal="center" vertical="top" wrapText="1"/>
    </xf>
    <xf numFmtId="0" fontId="75" fillId="38" borderId="1" xfId="0" applyFont="1" applyFill="1" applyBorder="1" applyAlignment="1">
      <alignment horizontal="center" vertical="center" wrapText="1"/>
    </xf>
    <xf numFmtId="0" fontId="75" fillId="38" borderId="17" xfId="0" applyFont="1" applyFill="1" applyBorder="1" applyAlignment="1">
      <alignment horizontal="center" vertical="center" wrapText="1"/>
    </xf>
    <xf numFmtId="0" fontId="75" fillId="38" borderId="51" xfId="0" applyFont="1" applyFill="1" applyBorder="1" applyAlignment="1">
      <alignment horizontal="center" vertical="center" wrapText="1"/>
    </xf>
    <xf numFmtId="0" fontId="75" fillId="38" borderId="52" xfId="0" applyFont="1" applyFill="1" applyBorder="1" applyAlignment="1">
      <alignment horizontal="center" vertical="center" wrapText="1"/>
    </xf>
    <xf numFmtId="0" fontId="75" fillId="38" borderId="53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top" wrapText="1"/>
    </xf>
    <xf numFmtId="0" fontId="3" fillId="0" borderId="59" xfId="0" applyFont="1" applyBorder="1" applyAlignment="1">
      <alignment horizontal="left" vertical="top" wrapText="1"/>
    </xf>
    <xf numFmtId="3" fontId="3" fillId="0" borderId="59" xfId="0" applyNumberFormat="1" applyFont="1" applyBorder="1" applyAlignment="1">
      <alignment horizontal="right" vertical="top" wrapText="1"/>
    </xf>
    <xf numFmtId="3" fontId="3" fillId="0" borderId="60" xfId="0" applyNumberFormat="1" applyFont="1" applyBorder="1" applyAlignment="1">
      <alignment horizontal="right" vertical="top" wrapText="1"/>
    </xf>
    <xf numFmtId="0" fontId="75" fillId="38" borderId="64" xfId="0" applyFont="1" applyFill="1" applyBorder="1" applyAlignment="1">
      <alignment horizontal="center" vertical="top" wrapText="1"/>
    </xf>
    <xf numFmtId="0" fontId="75" fillId="38" borderId="65" xfId="0" applyFont="1" applyFill="1" applyBorder="1" applyAlignment="1">
      <alignment horizontal="center" vertical="top" wrapText="1"/>
    </xf>
    <xf numFmtId="0" fontId="75" fillId="38" borderId="66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1" fillId="0" borderId="50" xfId="0" applyFont="1" applyBorder="1" applyAlignment="1">
      <alignment horizontal="center" vertical="top" wrapText="1"/>
    </xf>
    <xf numFmtId="3" fontId="1" fillId="0" borderId="17" xfId="0" applyNumberFormat="1" applyFont="1" applyBorder="1" applyAlignment="1">
      <alignment horizontal="right" vertical="top" wrapText="1"/>
    </xf>
    <xf numFmtId="0" fontId="3" fillId="0" borderId="50" xfId="0" applyFont="1" applyBorder="1" applyAlignment="1">
      <alignment horizontal="center" vertical="top" wrapText="1"/>
    </xf>
    <xf numFmtId="3" fontId="3" fillId="0" borderId="17" xfId="0" applyNumberFormat="1" applyFont="1" applyBorder="1" applyAlignment="1">
      <alignment horizontal="right" vertical="top" wrapText="1"/>
    </xf>
    <xf numFmtId="0" fontId="3" fillId="0" borderId="51" xfId="0" applyFont="1" applyBorder="1" applyAlignment="1">
      <alignment horizontal="center" vertical="top" wrapText="1"/>
    </xf>
    <xf numFmtId="0" fontId="3" fillId="0" borderId="52" xfId="0" applyFont="1" applyBorder="1" applyAlignment="1">
      <alignment horizontal="left" vertical="top" wrapText="1"/>
    </xf>
    <xf numFmtId="3" fontId="3" fillId="0" borderId="53" xfId="0" applyNumberFormat="1" applyFont="1" applyBorder="1" applyAlignment="1">
      <alignment horizontal="right" vertical="top" wrapText="1"/>
    </xf>
    <xf numFmtId="0" fontId="1" fillId="0" borderId="5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left" vertical="top" wrapText="1"/>
    </xf>
    <xf numFmtId="3" fontId="1" fillId="0" borderId="22" xfId="0" applyNumberFormat="1" applyFont="1" applyBorder="1" applyAlignment="1">
      <alignment horizontal="right" vertical="top" wrapText="1"/>
    </xf>
    <xf numFmtId="3" fontId="1" fillId="0" borderId="63" xfId="0" applyNumberFormat="1" applyFont="1" applyBorder="1" applyAlignment="1">
      <alignment horizontal="right" vertical="top" wrapText="1"/>
    </xf>
    <xf numFmtId="0" fontId="19" fillId="38" borderId="51" xfId="0" applyFont="1" applyFill="1" applyBorder="1" applyAlignment="1">
      <alignment horizontal="center" vertical="top" wrapText="1"/>
    </xf>
    <xf numFmtId="0" fontId="19" fillId="38" borderId="52" xfId="0" applyFont="1" applyFill="1" applyBorder="1" applyAlignment="1">
      <alignment horizontal="center" vertical="top" wrapText="1"/>
    </xf>
    <xf numFmtId="0" fontId="19" fillId="38" borderId="53" xfId="0" applyFont="1" applyFill="1" applyBorder="1" applyAlignment="1">
      <alignment horizontal="center" vertical="top" wrapText="1"/>
    </xf>
    <xf numFmtId="0" fontId="19" fillId="38" borderId="57" xfId="0" applyFont="1" applyFill="1" applyBorder="1" applyAlignment="1">
      <alignment horizontal="center" vertical="top" wrapText="1"/>
    </xf>
    <xf numFmtId="0" fontId="19" fillId="38" borderId="22" xfId="0" applyFont="1" applyFill="1" applyBorder="1" applyAlignment="1">
      <alignment horizontal="center" vertical="top" wrapText="1"/>
    </xf>
    <xf numFmtId="0" fontId="19" fillId="38" borderId="63" xfId="0" applyFont="1" applyFill="1" applyBorder="1" applyAlignment="1">
      <alignment horizontal="center" vertical="top" wrapText="1"/>
    </xf>
    <xf numFmtId="0" fontId="19" fillId="38" borderId="57" xfId="0" applyFont="1" applyFill="1" applyBorder="1" applyAlignment="1">
      <alignment horizontal="center" vertical="center" wrapText="1"/>
    </xf>
    <xf numFmtId="0" fontId="19" fillId="38" borderId="22" xfId="0" applyFont="1" applyFill="1" applyBorder="1" applyAlignment="1">
      <alignment horizontal="center" vertical="center" wrapText="1"/>
    </xf>
    <xf numFmtId="0" fontId="19" fillId="38" borderId="63" xfId="0" applyFont="1" applyFill="1" applyBorder="1" applyAlignment="1">
      <alignment horizontal="center" vertical="center" wrapText="1"/>
    </xf>
    <xf numFmtId="0" fontId="19" fillId="38" borderId="51" xfId="0" applyFont="1" applyFill="1" applyBorder="1" applyAlignment="1">
      <alignment horizontal="center" vertical="center" wrapText="1"/>
    </xf>
    <xf numFmtId="0" fontId="19" fillId="38" borderId="52" xfId="0" applyFont="1" applyFill="1" applyBorder="1" applyAlignment="1">
      <alignment horizontal="center" vertical="center" wrapText="1"/>
    </xf>
    <xf numFmtId="0" fontId="19" fillId="38" borderId="53" xfId="0" applyFont="1" applyFill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3" fontId="3" fillId="0" borderId="62" xfId="0" applyNumberFormat="1" applyFont="1" applyBorder="1" applyAlignment="1">
      <alignment horizontal="right" vertical="top" wrapText="1"/>
    </xf>
    <xf numFmtId="0" fontId="3" fillId="5" borderId="58" xfId="0" applyFont="1" applyFill="1" applyBorder="1" applyAlignment="1">
      <alignment horizontal="center" vertical="top" wrapText="1"/>
    </xf>
    <xf numFmtId="0" fontId="3" fillId="5" borderId="59" xfId="0" applyFont="1" applyFill="1" applyBorder="1" applyAlignment="1">
      <alignment horizontal="left" vertical="top" wrapText="1"/>
    </xf>
    <xf numFmtId="3" fontId="3" fillId="5" borderId="59" xfId="0" applyNumberFormat="1" applyFont="1" applyFill="1" applyBorder="1" applyAlignment="1">
      <alignment horizontal="right" vertical="top" wrapText="1"/>
    </xf>
    <xf numFmtId="3" fontId="3" fillId="5" borderId="60" xfId="0" applyNumberFormat="1" applyFont="1" applyFill="1" applyBorder="1" applyAlignment="1">
      <alignment horizontal="right" vertical="top" wrapText="1"/>
    </xf>
    <xf numFmtId="0" fontId="3" fillId="5" borderId="58" xfId="0" applyFont="1" applyFill="1" applyBorder="1" applyAlignment="1">
      <alignment horizontal="center" vertical="center" wrapText="1"/>
    </xf>
    <xf numFmtId="0" fontId="3" fillId="5" borderId="59" xfId="0" applyFont="1" applyFill="1" applyBorder="1" applyAlignment="1">
      <alignment horizontal="left" vertical="center" wrapText="1"/>
    </xf>
    <xf numFmtId="3" fontId="3" fillId="5" borderId="59" xfId="0" applyNumberFormat="1" applyFont="1" applyFill="1" applyBorder="1" applyAlignment="1">
      <alignment horizontal="right" vertical="center" wrapText="1"/>
    </xf>
    <xf numFmtId="3" fontId="3" fillId="5" borderId="60" xfId="0" applyNumberFormat="1" applyFont="1" applyFill="1" applyBorder="1" applyAlignment="1">
      <alignment horizontal="right" vertical="center" wrapText="1"/>
    </xf>
    <xf numFmtId="0" fontId="3" fillId="0" borderId="22" xfId="0" applyFont="1" applyBorder="1" applyAlignment="1">
      <alignment horizontal="left" vertical="top" wrapText="1"/>
    </xf>
    <xf numFmtId="3" fontId="3" fillId="0" borderId="22" xfId="0" applyNumberFormat="1" applyFont="1" applyBorder="1" applyAlignment="1">
      <alignment horizontal="right" vertical="top" wrapText="1"/>
    </xf>
    <xf numFmtId="0" fontId="12" fillId="38" borderId="54" xfId="0" applyFont="1" applyFill="1" applyBorder="1" applyAlignment="1">
      <alignment horizontal="center" vertical="center" wrapText="1"/>
    </xf>
    <xf numFmtId="0" fontId="12" fillId="38" borderId="55" xfId="0" applyFont="1" applyFill="1" applyBorder="1" applyAlignment="1">
      <alignment horizontal="center" vertical="center" wrapText="1"/>
    </xf>
    <xf numFmtId="0" fontId="12" fillId="38" borderId="56" xfId="0" applyFont="1" applyFill="1" applyBorder="1" applyAlignment="1">
      <alignment horizontal="center" vertical="center" wrapText="1"/>
    </xf>
    <xf numFmtId="0" fontId="12" fillId="38" borderId="51" xfId="0" applyFont="1" applyFill="1" applyBorder="1" applyAlignment="1">
      <alignment horizontal="center" vertical="center" wrapText="1"/>
    </xf>
    <xf numFmtId="0" fontId="12" fillId="38" borderId="52" xfId="0" applyFont="1" applyFill="1" applyBorder="1" applyAlignment="1">
      <alignment horizontal="center" vertical="center" wrapText="1"/>
    </xf>
    <xf numFmtId="0" fontId="12" fillId="38" borderId="53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top" wrapText="1"/>
    </xf>
    <xf numFmtId="3" fontId="3" fillId="0" borderId="63" xfId="0" applyNumberFormat="1" applyFont="1" applyBorder="1" applyAlignment="1">
      <alignment horizontal="right" vertical="top" wrapText="1"/>
    </xf>
    <xf numFmtId="0" fontId="1" fillId="0" borderId="51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left" vertical="top" wrapText="1"/>
    </xf>
    <xf numFmtId="3" fontId="1" fillId="0" borderId="52" xfId="0" applyNumberFormat="1" applyFont="1" applyBorder="1" applyAlignment="1">
      <alignment horizontal="right" vertical="top" wrapText="1"/>
    </xf>
    <xf numFmtId="3" fontId="1" fillId="0" borderId="53" xfId="0" applyNumberFormat="1" applyFont="1" applyBorder="1" applyAlignment="1">
      <alignment horizontal="right" vertical="top" wrapText="1"/>
    </xf>
    <xf numFmtId="167" fontId="81" fillId="0" borderId="70" xfId="0" applyNumberFormat="1" applyFont="1" applyFill="1" applyBorder="1" applyAlignment="1">
      <alignment horizontal="center" vertical="center"/>
    </xf>
    <xf numFmtId="167" fontId="81" fillId="0" borderId="71" xfId="0" applyNumberFormat="1" applyFont="1" applyFill="1" applyBorder="1" applyAlignment="1">
      <alignment horizontal="center" vertical="center"/>
    </xf>
    <xf numFmtId="167" fontId="81" fillId="0" borderId="67" xfId="0" applyNumberFormat="1" applyFont="1" applyFill="1" applyBorder="1" applyAlignment="1">
      <alignment horizontal="center" vertical="center" wrapText="1"/>
    </xf>
    <xf numFmtId="167" fontId="81" fillId="0" borderId="72" xfId="0" applyNumberFormat="1" applyFont="1" applyFill="1" applyBorder="1" applyAlignment="1">
      <alignment horizontal="center" vertical="center" wrapText="1"/>
    </xf>
    <xf numFmtId="167" fontId="81" fillId="0" borderId="73" xfId="0" applyNumberFormat="1" applyFont="1" applyFill="1" applyBorder="1" applyAlignment="1">
      <alignment horizontal="center" vertical="center" wrapText="1"/>
    </xf>
    <xf numFmtId="167" fontId="82" fillId="0" borderId="67" xfId="0" applyNumberFormat="1" applyFont="1" applyFill="1" applyBorder="1" applyAlignment="1">
      <alignment horizontal="left" vertical="center" wrapText="1" indent="1"/>
    </xf>
    <xf numFmtId="44" fontId="83" fillId="39" borderId="67" xfId="53" applyFont="1" applyFill="1" applyBorder="1" applyAlignment="1">
      <alignment horizontal="left" vertical="center" wrapText="1" indent="2"/>
    </xf>
    <xf numFmtId="44" fontId="83" fillId="39" borderId="74" xfId="53" applyFont="1" applyFill="1" applyBorder="1" applyAlignment="1">
      <alignment horizontal="left" vertical="center" wrapText="1" indent="2"/>
    </xf>
    <xf numFmtId="44" fontId="82" fillId="0" borderId="75" xfId="53" applyFont="1" applyFill="1" applyBorder="1" applyAlignment="1">
      <alignment vertical="center" wrapText="1"/>
    </xf>
    <xf numFmtId="44" fontId="82" fillId="0" borderId="73" xfId="53" applyFont="1" applyFill="1" applyBorder="1" applyAlignment="1">
      <alignment vertical="center" wrapText="1"/>
    </xf>
    <xf numFmtId="167" fontId="84" fillId="0" borderId="76" xfId="0" applyNumberFormat="1" applyFont="1" applyFill="1" applyBorder="1" applyAlignment="1" applyProtection="1">
      <alignment horizontal="left" vertical="center" wrapText="1" indent="1"/>
      <protection locked="0"/>
    </xf>
    <xf numFmtId="44" fontId="83" fillId="0" borderId="76" xfId="53" applyFont="1" applyFill="1" applyBorder="1" applyAlignment="1" applyProtection="1">
      <alignment horizontal="right" vertical="center" wrapText="1" indent="2"/>
      <protection locked="0"/>
    </xf>
    <xf numFmtId="44" fontId="83" fillId="0" borderId="77" xfId="53" applyFont="1" applyFill="1" applyBorder="1" applyAlignment="1" applyProtection="1">
      <alignment horizontal="right" vertical="center" wrapText="1" indent="2"/>
      <protection locked="0"/>
    </xf>
    <xf numFmtId="44" fontId="84" fillId="0" borderId="77" xfId="53" applyFont="1" applyFill="1" applyBorder="1" applyAlignment="1" applyProtection="1">
      <alignment vertical="center" wrapText="1"/>
      <protection locked="0"/>
    </xf>
    <xf numFmtId="44" fontId="84" fillId="0" borderId="78" xfId="53" applyFont="1" applyFill="1" applyBorder="1" applyAlignment="1" applyProtection="1">
      <alignment vertical="center" wrapText="1"/>
      <protection locked="0"/>
    </xf>
    <xf numFmtId="44" fontId="83" fillId="39" borderId="67" xfId="53" applyFont="1" applyFill="1" applyBorder="1" applyAlignment="1">
      <alignment horizontal="right" vertical="center" wrapText="1" indent="2"/>
    </xf>
    <xf numFmtId="44" fontId="83" fillId="39" borderId="74" xfId="53" applyFont="1" applyFill="1" applyBorder="1" applyAlignment="1">
      <alignment horizontal="right" vertical="center" wrapText="1" indent="2"/>
    </xf>
    <xf numFmtId="0" fontId="81" fillId="0" borderId="75" xfId="0" applyFont="1" applyFill="1" applyBorder="1" applyAlignment="1">
      <alignment horizontal="center" vertical="center" wrapText="1"/>
    </xf>
    <xf numFmtId="0" fontId="81" fillId="0" borderId="72" xfId="0" applyFont="1" applyFill="1" applyBorder="1" applyAlignment="1">
      <alignment horizontal="center" vertical="center" wrapText="1"/>
    </xf>
    <xf numFmtId="0" fontId="82" fillId="0" borderId="82" xfId="0" applyFont="1" applyFill="1" applyBorder="1" applyAlignment="1">
      <alignment horizontal="center" vertical="center" wrapText="1"/>
    </xf>
    <xf numFmtId="0" fontId="82" fillId="0" borderId="75" xfId="0" applyFont="1" applyFill="1" applyBorder="1" applyAlignment="1">
      <alignment horizontal="center" vertical="center" wrapText="1"/>
    </xf>
    <xf numFmtId="0" fontId="82" fillId="0" borderId="73" xfId="0" applyFont="1" applyFill="1" applyBorder="1" applyAlignment="1">
      <alignment horizontal="center" vertical="center" wrapText="1"/>
    </xf>
    <xf numFmtId="166" fontId="84" fillId="0" borderId="84" xfId="53" applyNumberFormat="1" applyFont="1" applyFill="1" applyBorder="1" applyAlignment="1" applyProtection="1">
      <alignment horizontal="center" vertical="center"/>
    </xf>
    <xf numFmtId="166" fontId="84" fillId="0" borderId="77" xfId="53" applyNumberFormat="1" applyFont="1" applyFill="1" applyBorder="1" applyAlignment="1" applyProtection="1">
      <alignment vertical="center" wrapText="1"/>
    </xf>
    <xf numFmtId="166" fontId="84" fillId="0" borderId="77" xfId="53" applyNumberFormat="1" applyFont="1" applyFill="1" applyBorder="1" applyAlignment="1" applyProtection="1">
      <alignment vertical="center"/>
      <protection locked="0"/>
    </xf>
    <xf numFmtId="166" fontId="84" fillId="0" borderId="85" xfId="53" applyNumberFormat="1" applyFont="1" applyFill="1" applyBorder="1" applyAlignment="1" applyProtection="1">
      <alignment vertical="center"/>
      <protection locked="0"/>
    </xf>
    <xf numFmtId="166" fontId="82" fillId="0" borderId="85" xfId="53" applyNumberFormat="1" applyFont="1" applyFill="1" applyBorder="1" applyAlignment="1" applyProtection="1">
      <alignment vertical="center"/>
    </xf>
    <xf numFmtId="166" fontId="82" fillId="0" borderId="78" xfId="53" applyNumberFormat="1" applyFont="1" applyFill="1" applyBorder="1" applyAlignment="1" applyProtection="1">
      <alignment vertical="center"/>
    </xf>
    <xf numFmtId="166" fontId="84" fillId="0" borderId="86" xfId="53" applyNumberFormat="1" applyFont="1" applyFill="1" applyBorder="1" applyAlignment="1" applyProtection="1">
      <alignment horizontal="center" vertical="center"/>
    </xf>
    <xf numFmtId="166" fontId="84" fillId="0" borderId="87" xfId="53" applyNumberFormat="1" applyFont="1" applyFill="1" applyBorder="1" applyAlignment="1" applyProtection="1">
      <alignment vertical="center" wrapText="1"/>
    </xf>
    <xf numFmtId="166" fontId="84" fillId="0" borderId="87" xfId="53" applyNumberFormat="1" applyFont="1" applyFill="1" applyBorder="1" applyAlignment="1" applyProtection="1">
      <alignment vertical="center"/>
      <protection locked="0"/>
    </xf>
    <xf numFmtId="166" fontId="84" fillId="0" borderId="88" xfId="53" applyNumberFormat="1" applyFont="1" applyFill="1" applyBorder="1" applyAlignment="1" applyProtection="1">
      <alignment vertical="center"/>
      <protection locked="0"/>
    </xf>
    <xf numFmtId="166" fontId="82" fillId="0" borderId="75" xfId="53" applyNumberFormat="1" applyFont="1" applyFill="1" applyBorder="1" applyAlignment="1" applyProtection="1">
      <alignment vertical="center"/>
    </xf>
    <xf numFmtId="166" fontId="82" fillId="0" borderId="72" xfId="53" applyNumberFormat="1" applyFont="1" applyFill="1" applyBorder="1" applyAlignment="1" applyProtection="1">
      <alignment vertical="center"/>
    </xf>
    <xf numFmtId="166" fontId="82" fillId="0" borderId="73" xfId="53" applyNumberFormat="1" applyFont="1" applyFill="1" applyBorder="1" applyAlignment="1" applyProtection="1">
      <alignment vertical="center"/>
    </xf>
    <xf numFmtId="166" fontId="84" fillId="0" borderId="89" xfId="53" applyNumberFormat="1" applyFont="1" applyFill="1" applyBorder="1" applyAlignment="1" applyProtection="1">
      <alignment horizontal="center" vertical="center"/>
    </xf>
    <xf numFmtId="166" fontId="84" fillId="0" borderId="71" xfId="53" applyNumberFormat="1" applyFont="1" applyFill="1" applyBorder="1" applyAlignment="1" applyProtection="1">
      <alignment vertical="center" wrapText="1"/>
    </xf>
    <xf numFmtId="166" fontId="84" fillId="0" borderId="71" xfId="53" applyNumberFormat="1" applyFont="1" applyFill="1" applyBorder="1" applyAlignment="1" applyProtection="1">
      <alignment vertical="center"/>
      <protection locked="0"/>
    </xf>
    <xf numFmtId="166" fontId="84" fillId="0" borderId="70" xfId="53" applyNumberFormat="1" applyFont="1" applyFill="1" applyBorder="1" applyAlignment="1" applyProtection="1">
      <alignment vertical="center"/>
      <protection locked="0"/>
    </xf>
    <xf numFmtId="166" fontId="82" fillId="0" borderId="90" xfId="53" applyNumberFormat="1" applyFont="1" applyFill="1" applyBorder="1" applyAlignment="1" applyProtection="1">
      <alignment vertical="center"/>
    </xf>
    <xf numFmtId="166" fontId="81" fillId="0" borderId="75" xfId="53" applyNumberFormat="1" applyFont="1" applyFill="1" applyBorder="1" applyAlignment="1" applyProtection="1">
      <alignment vertical="center"/>
    </xf>
    <xf numFmtId="0" fontId="89" fillId="0" borderId="0" xfId="0" applyFont="1"/>
    <xf numFmtId="0" fontId="88" fillId="0" borderId="0" xfId="0" applyFont="1"/>
    <xf numFmtId="0" fontId="90" fillId="0" borderId="50" xfId="0" applyFont="1" applyBorder="1"/>
    <xf numFmtId="3" fontId="89" fillId="0" borderId="17" xfId="0" applyNumberFormat="1" applyFont="1" applyBorder="1" applyAlignment="1">
      <alignment horizontal="center"/>
    </xf>
    <xf numFmtId="0" fontId="90" fillId="0" borderId="1" xfId="0" applyFont="1" applyBorder="1" applyAlignment="1">
      <alignment horizontal="center"/>
    </xf>
    <xf numFmtId="0" fontId="90" fillId="0" borderId="50" xfId="0" applyFont="1" applyBorder="1" applyAlignment="1">
      <alignment horizontal="center"/>
    </xf>
    <xf numFmtId="0" fontId="0" fillId="0" borderId="50" xfId="0" applyBorder="1"/>
    <xf numFmtId="3" fontId="0" fillId="0" borderId="17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/>
    <xf numFmtId="0" fontId="89" fillId="0" borderId="50" xfId="0" applyFont="1" applyBorder="1"/>
    <xf numFmtId="3" fontId="89" fillId="0" borderId="17" xfId="0" applyNumberFormat="1" applyFont="1" applyBorder="1"/>
    <xf numFmtId="3" fontId="89" fillId="0" borderId="1" xfId="0" applyNumberFormat="1" applyFont="1" applyBorder="1" applyAlignment="1">
      <alignment horizontal="right"/>
    </xf>
    <xf numFmtId="3" fontId="89" fillId="0" borderId="50" xfId="0" applyNumberFormat="1" applyFont="1" applyBorder="1"/>
    <xf numFmtId="0" fontId="89" fillId="0" borderId="50" xfId="0" applyFont="1" applyBorder="1" applyAlignment="1">
      <alignment wrapText="1"/>
    </xf>
    <xf numFmtId="3" fontId="91" fillId="0" borderId="50" xfId="0" applyNumberFormat="1" applyFont="1" applyBorder="1"/>
    <xf numFmtId="3" fontId="91" fillId="0" borderId="17" xfId="0" applyNumberFormat="1" applyFont="1" applyBorder="1"/>
    <xf numFmtId="3" fontId="91" fillId="0" borderId="1" xfId="0" applyNumberFormat="1" applyFont="1" applyBorder="1" applyAlignment="1">
      <alignment horizontal="right"/>
    </xf>
    <xf numFmtId="0" fontId="92" fillId="8" borderId="50" xfId="0" applyFont="1" applyFill="1" applyBorder="1" applyAlignment="1">
      <alignment wrapText="1"/>
    </xf>
    <xf numFmtId="3" fontId="89" fillId="8" borderId="17" xfId="0" applyNumberFormat="1" applyFont="1" applyFill="1" applyBorder="1"/>
    <xf numFmtId="3" fontId="89" fillId="8" borderId="1" xfId="0" applyNumberFormat="1" applyFont="1" applyFill="1" applyBorder="1"/>
    <xf numFmtId="0" fontId="93" fillId="0" borderId="50" xfId="0" applyFont="1" applyBorder="1" applyAlignment="1">
      <alignment wrapText="1"/>
    </xf>
    <xf numFmtId="3" fontId="93" fillId="0" borderId="17" xfId="0" applyNumberFormat="1" applyFont="1" applyBorder="1"/>
    <xf numFmtId="3" fontId="93" fillId="0" borderId="1" xfId="0" applyNumberFormat="1" applyFont="1" applyBorder="1"/>
    <xf numFmtId="3" fontId="89" fillId="0" borderId="1" xfId="0" applyNumberFormat="1" applyFont="1" applyBorder="1"/>
    <xf numFmtId="3" fontId="89" fillId="0" borderId="17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91" xfId="0" applyNumberFormat="1" applyFill="1" applyBorder="1"/>
    <xf numFmtId="3" fontId="0" fillId="0" borderId="50" xfId="0" applyNumberFormat="1" applyBorder="1"/>
    <xf numFmtId="0" fontId="90" fillId="8" borderId="51" xfId="0" applyFont="1" applyFill="1" applyBorder="1" applyAlignment="1">
      <alignment horizontal="left"/>
    </xf>
    <xf numFmtId="3" fontId="89" fillId="8" borderId="53" xfId="0" applyNumberFormat="1" applyFont="1" applyFill="1" applyBorder="1"/>
    <xf numFmtId="3" fontId="89" fillId="8" borderId="52" xfId="0" applyNumberFormat="1" applyFont="1" applyFill="1" applyBorder="1"/>
    <xf numFmtId="3" fontId="90" fillId="8" borderId="51" xfId="0" applyNumberFormat="1" applyFont="1" applyFill="1" applyBorder="1" applyAlignment="1">
      <alignment horizontal="left"/>
    </xf>
    <xf numFmtId="0" fontId="93" fillId="0" borderId="57" xfId="0" applyFont="1" applyBorder="1" applyAlignment="1">
      <alignment wrapText="1"/>
    </xf>
    <xf numFmtId="3" fontId="93" fillId="0" borderId="22" xfId="0" applyNumberFormat="1" applyFont="1" applyBorder="1"/>
    <xf numFmtId="3" fontId="90" fillId="0" borderId="22" xfId="0" applyNumberFormat="1" applyFont="1" applyBorder="1" applyAlignment="1">
      <alignment horizontal="right"/>
    </xf>
    <xf numFmtId="3" fontId="94" fillId="0" borderId="22" xfId="0" applyNumberFormat="1" applyFont="1" applyBorder="1"/>
    <xf numFmtId="3" fontId="94" fillId="0" borderId="22" xfId="0" applyNumberFormat="1" applyFont="1" applyBorder="1" applyAlignment="1">
      <alignment horizontal="right"/>
    </xf>
    <xf numFmtId="3" fontId="94" fillId="0" borderId="63" xfId="0" applyNumberFormat="1" applyFont="1" applyBorder="1"/>
    <xf numFmtId="0" fontId="0" fillId="0" borderId="32" xfId="0" applyBorder="1"/>
    <xf numFmtId="0" fontId="0" fillId="0" borderId="33" xfId="0" applyBorder="1" applyAlignment="1">
      <alignment horizontal="right"/>
    </xf>
    <xf numFmtId="0" fontId="3" fillId="10" borderId="58" xfId="0" applyFont="1" applyFill="1" applyBorder="1"/>
    <xf numFmtId="3" fontId="3" fillId="10" borderId="59" xfId="0" applyNumberFormat="1" applyFont="1" applyFill="1" applyBorder="1"/>
    <xf numFmtId="0" fontId="3" fillId="10" borderId="59" xfId="0" applyFont="1" applyFill="1" applyBorder="1"/>
    <xf numFmtId="3" fontId="3" fillId="10" borderId="60" xfId="0" applyNumberFormat="1" applyFont="1" applyFill="1" applyBorder="1"/>
    <xf numFmtId="0" fontId="0" fillId="0" borderId="0" xfId="0" applyAlignment="1">
      <alignment horizontal="right"/>
    </xf>
    <xf numFmtId="0" fontId="90" fillId="0" borderId="0" xfId="0" applyFont="1"/>
    <xf numFmtId="0" fontId="89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90" fillId="0" borderId="57" xfId="0" applyFont="1" applyBorder="1"/>
    <xf numFmtId="0" fontId="90" fillId="0" borderId="23" xfId="0" applyFont="1" applyBorder="1"/>
    <xf numFmtId="0" fontId="89" fillId="0" borderId="1" xfId="0" applyFont="1" applyBorder="1" applyAlignment="1">
      <alignment horizontal="center"/>
    </xf>
    <xf numFmtId="0" fontId="89" fillId="0" borderId="17" xfId="0" applyFont="1" applyBorder="1" applyAlignment="1">
      <alignment horizontal="center"/>
    </xf>
    <xf numFmtId="0" fontId="90" fillId="0" borderId="9" xfId="0" applyFont="1" applyBorder="1" applyAlignment="1">
      <alignment horizontal="center"/>
    </xf>
    <xf numFmtId="0" fontId="90" fillId="0" borderId="1" xfId="0" applyFont="1" applyFill="1" applyBorder="1" applyAlignment="1">
      <alignment horizontal="center"/>
    </xf>
    <xf numFmtId="0" fontId="90" fillId="0" borderId="2" xfId="0" applyFont="1" applyBorder="1" applyAlignment="1">
      <alignment horizontal="center"/>
    </xf>
    <xf numFmtId="0" fontId="90" fillId="0" borderId="17" xfId="0" applyFont="1" applyFill="1" applyBorder="1" applyAlignment="1">
      <alignment horizontal="center"/>
    </xf>
    <xf numFmtId="0" fontId="91" fillId="0" borderId="50" xfId="0" applyFont="1" applyBorder="1"/>
    <xf numFmtId="3" fontId="0" fillId="0" borderId="17" xfId="0" applyNumberFormat="1" applyBorder="1" applyAlignment="1">
      <alignment horizontal="right"/>
    </xf>
    <xf numFmtId="0" fontId="90" fillId="0" borderId="9" xfId="0" applyFont="1" applyBorder="1"/>
    <xf numFmtId="0" fontId="89" fillId="0" borderId="9" xfId="0" applyFont="1" applyBorder="1"/>
    <xf numFmtId="3" fontId="89" fillId="0" borderId="2" xfId="0" applyNumberFormat="1" applyFont="1" applyBorder="1" applyAlignment="1">
      <alignment horizontal="right"/>
    </xf>
    <xf numFmtId="3" fontId="89" fillId="0" borderId="9" xfId="0" applyNumberFormat="1" applyFont="1" applyBorder="1"/>
    <xf numFmtId="3" fontId="89" fillId="0" borderId="2" xfId="0" applyNumberFormat="1" applyFont="1" applyBorder="1"/>
    <xf numFmtId="3" fontId="89" fillId="0" borderId="50" xfId="0" applyNumberFormat="1" applyFont="1" applyBorder="1" applyAlignment="1">
      <alignment wrapText="1"/>
    </xf>
    <xf numFmtId="3" fontId="89" fillId="0" borderId="9" xfId="0" applyNumberFormat="1" applyFont="1" applyBorder="1" applyAlignment="1">
      <alignment wrapText="1"/>
    </xf>
    <xf numFmtId="3" fontId="92" fillId="8" borderId="50" xfId="0" applyNumberFormat="1" applyFont="1" applyFill="1" applyBorder="1" applyAlignment="1">
      <alignment wrapText="1"/>
    </xf>
    <xf numFmtId="3" fontId="92" fillId="8" borderId="9" xfId="0" applyNumberFormat="1" applyFont="1" applyFill="1" applyBorder="1" applyAlignment="1">
      <alignment wrapText="1"/>
    </xf>
    <xf numFmtId="11" fontId="93" fillId="0" borderId="50" xfId="0" applyNumberFormat="1" applyFont="1" applyBorder="1"/>
    <xf numFmtId="11" fontId="95" fillId="0" borderId="9" xfId="0" applyNumberFormat="1" applyFont="1" applyBorder="1"/>
    <xf numFmtId="3" fontId="95" fillId="0" borderId="1" xfId="0" applyNumberFormat="1" applyFont="1" applyBorder="1"/>
    <xf numFmtId="3" fontId="95" fillId="0" borderId="2" xfId="0" applyNumberFormat="1" applyFont="1" applyBorder="1" applyAlignment="1">
      <alignment horizontal="right"/>
    </xf>
    <xf numFmtId="3" fontId="95" fillId="0" borderId="17" xfId="0" applyNumberFormat="1" applyFont="1" applyBorder="1"/>
    <xf numFmtId="3" fontId="89" fillId="8" borderId="50" xfId="0" applyNumberFormat="1" applyFont="1" applyFill="1" applyBorder="1"/>
    <xf numFmtId="3" fontId="89" fillId="8" borderId="9" xfId="0" applyNumberFormat="1" applyFont="1" applyFill="1" applyBorder="1"/>
    <xf numFmtId="3" fontId="0" fillId="0" borderId="1" xfId="0" applyNumberFormat="1" applyBorder="1"/>
    <xf numFmtId="3" fontId="0" fillId="0" borderId="9" xfId="0" applyNumberFormat="1" applyBorder="1"/>
    <xf numFmtId="3" fontId="0" fillId="0" borderId="2" xfId="0" applyNumberFormat="1" applyBorder="1" applyAlignment="1">
      <alignment horizontal="right"/>
    </xf>
    <xf numFmtId="3" fontId="90" fillId="8" borderId="50" xfId="0" applyNumberFormat="1" applyFont="1" applyFill="1" applyBorder="1"/>
    <xf numFmtId="3" fontId="90" fillId="8" borderId="9" xfId="0" applyNumberFormat="1" applyFont="1" applyFill="1" applyBorder="1"/>
    <xf numFmtId="11" fontId="93" fillId="0" borderId="51" xfId="0" applyNumberFormat="1" applyFont="1" applyBorder="1"/>
    <xf numFmtId="3" fontId="93" fillId="0" borderId="52" xfId="0" applyNumberFormat="1" applyFont="1" applyBorder="1"/>
    <xf numFmtId="3" fontId="93" fillId="0" borderId="52" xfId="0" applyNumberFormat="1" applyFont="1" applyBorder="1" applyAlignment="1">
      <alignment horizontal="right"/>
    </xf>
    <xf numFmtId="3" fontId="93" fillId="0" borderId="53" xfId="0" applyNumberFormat="1" applyFont="1" applyBorder="1"/>
    <xf numFmtId="3" fontId="89" fillId="0" borderId="36" xfId="0" applyNumberFormat="1" applyFont="1" applyBorder="1" applyAlignment="1">
      <alignment horizontal="right"/>
    </xf>
    <xf numFmtId="3" fontId="91" fillId="0" borderId="52" xfId="0" applyNumberFormat="1" applyFont="1" applyBorder="1"/>
    <xf numFmtId="3" fontId="94" fillId="0" borderId="52" xfId="0" applyNumberFormat="1" applyFont="1" applyBorder="1"/>
    <xf numFmtId="3" fontId="91" fillId="0" borderId="53" xfId="0" applyNumberFormat="1" applyFont="1" applyBorder="1"/>
    <xf numFmtId="11" fontId="95" fillId="0" borderId="0" xfId="0" applyNumberFormat="1" applyFont="1" applyBorder="1"/>
    <xf numFmtId="0" fontId="54" fillId="0" borderId="0" xfId="55"/>
    <xf numFmtId="168" fontId="54" fillId="0" borderId="77" xfId="55" applyNumberFormat="1" applyBorder="1" applyAlignment="1">
      <alignment horizontal="center" vertical="center"/>
    </xf>
    <xf numFmtId="0" fontId="54" fillId="0" borderId="92" xfId="55" applyFont="1" applyBorder="1" applyAlignment="1">
      <alignment horizontal="left" vertical="center"/>
    </xf>
    <xf numFmtId="0" fontId="54" fillId="0" borderId="93" xfId="55" applyFont="1" applyBorder="1" applyAlignment="1">
      <alignment vertical="center" wrapText="1"/>
    </xf>
    <xf numFmtId="0" fontId="54" fillId="0" borderId="93" xfId="55" applyFont="1" applyBorder="1" applyAlignment="1">
      <alignment vertical="center"/>
    </xf>
    <xf numFmtId="0" fontId="54" fillId="0" borderId="33" xfId="55" applyFont="1" applyBorder="1" applyAlignment="1">
      <alignment wrapText="1"/>
    </xf>
    <xf numFmtId="0" fontId="54" fillId="0" borderId="94" xfId="55" applyFont="1" applyBorder="1" applyAlignment="1">
      <alignment horizontal="left" vertical="center"/>
    </xf>
    <xf numFmtId="168" fontId="54" fillId="0" borderId="95" xfId="55" applyNumberFormat="1" applyBorder="1" applyAlignment="1">
      <alignment horizontal="center" vertical="center"/>
    </xf>
    <xf numFmtId="0" fontId="54" fillId="0" borderId="96" xfId="55" applyFont="1" applyBorder="1" applyAlignment="1">
      <alignment vertical="center" wrapText="1"/>
    </xf>
    <xf numFmtId="0" fontId="67" fillId="0" borderId="97" xfId="55" applyFont="1" applyBorder="1" applyAlignment="1">
      <alignment horizontal="center" vertical="center"/>
    </xf>
    <xf numFmtId="0" fontId="67" fillId="0" borderId="98" xfId="55" applyFont="1" applyBorder="1" applyAlignment="1">
      <alignment horizontal="center" vertical="center"/>
    </xf>
    <xf numFmtId="0" fontId="67" fillId="0" borderId="99" xfId="55" applyFont="1" applyBorder="1" applyAlignment="1">
      <alignment horizontal="center" vertical="center"/>
    </xf>
    <xf numFmtId="0" fontId="54" fillId="0" borderId="100" xfId="55" applyFont="1" applyBorder="1" applyAlignment="1">
      <alignment horizontal="left" vertical="center" wrapText="1"/>
    </xf>
    <xf numFmtId="168" fontId="54" fillId="0" borderId="87" xfId="55" applyNumberFormat="1" applyBorder="1" applyAlignment="1">
      <alignment horizontal="center" vertical="center"/>
    </xf>
    <xf numFmtId="0" fontId="54" fillId="0" borderId="97" xfId="55" applyFont="1" applyBorder="1" applyAlignment="1">
      <alignment horizontal="left" vertical="center"/>
    </xf>
    <xf numFmtId="168" fontId="54" fillId="0" borderId="98" xfId="55" applyNumberFormat="1" applyBorder="1" applyAlignment="1">
      <alignment horizontal="center" vertical="center"/>
    </xf>
    <xf numFmtId="0" fontId="54" fillId="0" borderId="99" xfId="55" applyBorder="1"/>
    <xf numFmtId="0" fontId="19" fillId="38" borderId="0" xfId="0" applyFont="1" applyFill="1" applyBorder="1" applyAlignment="1">
      <alignment horizontal="center" vertical="center" wrapText="1"/>
    </xf>
    <xf numFmtId="0" fontId="99" fillId="0" borderId="1" xfId="0" applyFont="1" applyBorder="1"/>
    <xf numFmtId="0" fontId="98" fillId="0" borderId="17" xfId="0" applyFont="1" applyBorder="1"/>
    <xf numFmtId="3" fontId="99" fillId="0" borderId="1" xfId="0" applyNumberFormat="1" applyFont="1" applyBorder="1"/>
    <xf numFmtId="3" fontId="92" fillId="0" borderId="17" xfId="0" applyNumberFormat="1" applyFont="1" applyBorder="1"/>
    <xf numFmtId="3" fontId="92" fillId="0" borderId="17" xfId="0" applyNumberFormat="1" applyFont="1" applyFill="1" applyBorder="1"/>
    <xf numFmtId="3" fontId="0" fillId="0" borderId="52" xfId="0" applyNumberFormat="1" applyBorder="1"/>
    <xf numFmtId="0" fontId="98" fillId="0" borderId="53" xfId="0" applyFont="1" applyBorder="1"/>
    <xf numFmtId="3" fontId="89" fillId="0" borderId="22" xfId="0" applyNumberFormat="1" applyFont="1" applyBorder="1" applyAlignment="1">
      <alignment horizontal="center"/>
    </xf>
    <xf numFmtId="0" fontId="90" fillId="0" borderId="23" xfId="0" applyFont="1" applyBorder="1" applyAlignment="1">
      <alignment horizontal="center"/>
    </xf>
    <xf numFmtId="3" fontId="89" fillId="0" borderId="63" xfId="0" applyNumberFormat="1" applyFont="1" applyBorder="1" applyAlignment="1">
      <alignment horizontal="center"/>
    </xf>
    <xf numFmtId="0" fontId="90" fillId="0" borderId="11" xfId="0" applyFont="1" applyBorder="1"/>
    <xf numFmtId="0" fontId="90" fillId="0" borderId="12" xfId="0" applyFont="1" applyBorder="1" applyAlignment="1">
      <alignment horizontal="center"/>
    </xf>
    <xf numFmtId="0" fontId="90" fillId="0" borderId="12" xfId="0" applyFont="1" applyBorder="1"/>
    <xf numFmtId="0" fontId="90" fillId="0" borderId="13" xfId="0" applyFont="1" applyBorder="1"/>
    <xf numFmtId="0" fontId="90" fillId="0" borderId="60" xfId="0" applyFont="1" applyBorder="1"/>
    <xf numFmtId="0" fontId="103" fillId="0" borderId="0" xfId="0" applyFont="1"/>
    <xf numFmtId="0" fontId="103" fillId="0" borderId="1" xfId="0" applyFont="1" applyBorder="1"/>
    <xf numFmtId="3" fontId="103" fillId="0" borderId="1" xfId="0" applyNumberFormat="1" applyFont="1" applyBorder="1"/>
    <xf numFmtId="0" fontId="106" fillId="0" borderId="1" xfId="56" applyFont="1" applyFill="1" applyBorder="1" applyProtection="1">
      <protection locked="0"/>
    </xf>
    <xf numFmtId="3" fontId="106" fillId="0" borderId="1" xfId="56" applyNumberFormat="1" applyFont="1" applyFill="1" applyBorder="1" applyProtection="1">
      <protection locked="0"/>
    </xf>
    <xf numFmtId="0" fontId="103" fillId="0" borderId="1" xfId="0" applyFont="1" applyFill="1" applyBorder="1" applyProtection="1">
      <protection locked="0"/>
    </xf>
    <xf numFmtId="3" fontId="103" fillId="0" borderId="1" xfId="0" applyNumberFormat="1" applyFont="1" applyFill="1" applyBorder="1" applyProtection="1">
      <protection locked="0"/>
    </xf>
    <xf numFmtId="165" fontId="103" fillId="4" borderId="1" xfId="1" applyNumberFormat="1" applyFont="1" applyFill="1" applyBorder="1"/>
    <xf numFmtId="0" fontId="103" fillId="0" borderId="10" xfId="0" applyFont="1" applyBorder="1"/>
    <xf numFmtId="0" fontId="103" fillId="0" borderId="10" xfId="0" applyFont="1" applyFill="1" applyBorder="1" applyProtection="1">
      <protection locked="0"/>
    </xf>
    <xf numFmtId="0" fontId="104" fillId="0" borderId="58" xfId="0" applyFont="1" applyBorder="1"/>
    <xf numFmtId="0" fontId="104" fillId="0" borderId="59" xfId="0" applyFont="1" applyBorder="1"/>
    <xf numFmtId="3" fontId="104" fillId="0" borderId="59" xfId="0" applyNumberFormat="1" applyFont="1" applyBorder="1"/>
    <xf numFmtId="0" fontId="105" fillId="0" borderId="60" xfId="0" applyFont="1" applyBorder="1"/>
    <xf numFmtId="0" fontId="103" fillId="0" borderId="22" xfId="0" applyFont="1" applyBorder="1"/>
    <xf numFmtId="0" fontId="104" fillId="0" borderId="54" xfId="0" applyFont="1" applyBorder="1" applyAlignment="1">
      <alignment horizontal="center" vertical="center"/>
    </xf>
    <xf numFmtId="0" fontId="104" fillId="0" borderId="55" xfId="0" applyFont="1" applyBorder="1" applyAlignment="1">
      <alignment horizontal="center" vertical="center"/>
    </xf>
    <xf numFmtId="3" fontId="104" fillId="0" borderId="109" xfId="0" applyNumberFormat="1" applyFont="1" applyBorder="1" applyAlignment="1">
      <alignment horizontal="center" vertical="center"/>
    </xf>
    <xf numFmtId="0" fontId="104" fillId="0" borderId="56" xfId="0" applyFont="1" applyFill="1" applyBorder="1" applyAlignment="1">
      <alignment horizontal="center" vertical="center"/>
    </xf>
    <xf numFmtId="0" fontId="103" fillId="0" borderId="50" xfId="0" applyFont="1" applyFill="1" applyBorder="1"/>
    <xf numFmtId="0" fontId="103" fillId="0" borderId="17" xfId="0" applyFont="1" applyBorder="1"/>
    <xf numFmtId="0" fontId="103" fillId="0" borderId="62" xfId="0" applyFont="1" applyBorder="1"/>
    <xf numFmtId="0" fontId="103" fillId="0" borderId="57" xfId="0" applyFont="1" applyBorder="1"/>
    <xf numFmtId="0" fontId="103" fillId="0" borderId="63" xfId="0" applyFont="1" applyBorder="1"/>
    <xf numFmtId="0" fontId="103" fillId="0" borderId="50" xfId="0" applyFont="1" applyBorder="1"/>
    <xf numFmtId="3" fontId="103" fillId="0" borderId="0" xfId="0" applyNumberFormat="1" applyFont="1"/>
    <xf numFmtId="0" fontId="103" fillId="0" borderId="54" xfId="0" applyFont="1" applyBorder="1"/>
    <xf numFmtId="0" fontId="103" fillId="0" borderId="55" xfId="0" applyFont="1" applyBorder="1"/>
    <xf numFmtId="0" fontId="103" fillId="0" borderId="56" xfId="0" applyFont="1" applyBorder="1"/>
    <xf numFmtId="0" fontId="103" fillId="0" borderId="53" xfId="0" applyFont="1" applyBorder="1"/>
    <xf numFmtId="0" fontId="103" fillId="0" borderId="64" xfId="0" applyFont="1" applyBorder="1"/>
    <xf numFmtId="0" fontId="106" fillId="0" borderId="65" xfId="56" applyFont="1" applyFill="1" applyBorder="1" applyProtection="1">
      <protection locked="0"/>
    </xf>
    <xf numFmtId="3" fontId="103" fillId="0" borderId="65" xfId="0" applyNumberFormat="1" applyFont="1" applyFill="1" applyBorder="1" applyProtection="1">
      <protection locked="0"/>
    </xf>
    <xf numFmtId="0" fontId="103" fillId="0" borderId="66" xfId="0" applyFont="1" applyBorder="1"/>
    <xf numFmtId="0" fontId="103" fillId="0" borderId="91" xfId="0" applyFont="1" applyFill="1" applyBorder="1"/>
    <xf numFmtId="0" fontId="103" fillId="0" borderId="6" xfId="0" applyFont="1" applyBorder="1"/>
    <xf numFmtId="3" fontId="103" fillId="0" borderId="6" xfId="0" applyNumberFormat="1" applyFont="1" applyBorder="1"/>
    <xf numFmtId="0" fontId="103" fillId="0" borderId="110" xfId="0" applyFont="1" applyBorder="1"/>
    <xf numFmtId="0" fontId="103" fillId="0" borderId="91" xfId="0" applyFont="1" applyBorder="1"/>
    <xf numFmtId="0" fontId="103" fillId="0" borderId="6" xfId="0" applyFont="1" applyFill="1" applyBorder="1" applyProtection="1">
      <protection locked="0"/>
    </xf>
    <xf numFmtId="3" fontId="103" fillId="0" borderId="6" xfId="0" applyNumberFormat="1" applyFont="1" applyFill="1" applyBorder="1" applyProtection="1">
      <protection locked="0"/>
    </xf>
    <xf numFmtId="0" fontId="106" fillId="0" borderId="1" xfId="0" applyFont="1" applyFill="1" applyBorder="1" applyProtection="1">
      <protection locked="0"/>
    </xf>
    <xf numFmtId="0" fontId="104" fillId="0" borderId="0" xfId="0" applyFont="1"/>
    <xf numFmtId="0" fontId="106" fillId="0" borderId="6" xfId="56" applyFont="1" applyFill="1" applyBorder="1" applyProtection="1">
      <protection locked="0"/>
    </xf>
    <xf numFmtId="3" fontId="106" fillId="0" borderId="6" xfId="56" applyNumberFormat="1" applyFont="1" applyFill="1" applyBorder="1" applyProtection="1">
      <protection locked="0"/>
    </xf>
    <xf numFmtId="0" fontId="103" fillId="0" borderId="110" xfId="0" applyFont="1" applyFill="1" applyBorder="1"/>
    <xf numFmtId="0" fontId="103" fillId="0" borderId="17" xfId="0" applyFont="1" applyFill="1" applyBorder="1"/>
    <xf numFmtId="0" fontId="103" fillId="0" borderId="1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9" fontId="7" fillId="0" borderId="0" xfId="3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0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3" fontId="23" fillId="7" borderId="2" xfId="0" applyNumberFormat="1" applyFont="1" applyFill="1" applyBorder="1" applyAlignment="1">
      <alignment horizontal="center" vertical="center"/>
    </xf>
    <xf numFmtId="165" fontId="8" fillId="0" borderId="1" xfId="1" applyNumberFormat="1" applyFont="1" applyBorder="1" applyAlignment="1">
      <alignment vertical="center"/>
    </xf>
    <xf numFmtId="3" fontId="23" fillId="0" borderId="2" xfId="0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9" fontId="2" fillId="0" borderId="1" xfId="3" applyFont="1" applyBorder="1" applyAlignment="1">
      <alignment vertical="center"/>
    </xf>
    <xf numFmtId="9" fontId="15" fillId="0" borderId="1" xfId="3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9" fontId="15" fillId="2" borderId="1" xfId="3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9" fontId="2" fillId="0" borderId="1" xfId="3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vertical="center"/>
    </xf>
    <xf numFmtId="3" fontId="5" fillId="0" borderId="1" xfId="1" applyNumberFormat="1" applyFont="1" applyBorder="1" applyAlignment="1">
      <alignment vertical="center"/>
    </xf>
    <xf numFmtId="9" fontId="15" fillId="0" borderId="1" xfId="3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1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 wrapText="1"/>
    </xf>
    <xf numFmtId="0" fontId="1" fillId="0" borderId="50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165" fontId="1" fillId="0" borderId="1" xfId="1" applyNumberFormat="1" applyFont="1" applyBorder="1" applyAlignment="1">
      <alignment vertical="center"/>
    </xf>
    <xf numFmtId="166" fontId="71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164" fontId="7" fillId="0" borderId="0" xfId="1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3" fontId="4" fillId="5" borderId="1" xfId="0" applyNumberFormat="1" applyFont="1" applyFill="1" applyBorder="1" applyAlignment="1">
      <alignment vertical="center"/>
    </xf>
    <xf numFmtId="9" fontId="2" fillId="5" borderId="1" xfId="3" applyFont="1" applyFill="1" applyBorder="1" applyAlignment="1">
      <alignment horizontal="center" vertical="center"/>
    </xf>
    <xf numFmtId="3" fontId="3" fillId="5" borderId="1" xfId="1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9" fillId="7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9" fontId="15" fillId="0" borderId="1" xfId="3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7" fillId="15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9" fontId="7" fillId="0" borderId="0" xfId="3" applyFont="1" applyAlignment="1">
      <alignment horizontal="center"/>
    </xf>
    <xf numFmtId="9" fontId="7" fillId="0" borderId="1" xfId="3" applyFont="1" applyBorder="1" applyAlignment="1">
      <alignment horizontal="center" vertical="center"/>
    </xf>
    <xf numFmtId="9" fontId="22" fillId="5" borderId="1" xfId="3" applyFont="1" applyFill="1" applyBorder="1" applyAlignment="1">
      <alignment horizontal="center" vertical="center"/>
    </xf>
    <xf numFmtId="9" fontId="22" fillId="0" borderId="1" xfId="3" applyFont="1" applyFill="1" applyBorder="1" applyAlignment="1">
      <alignment horizontal="center" vertical="center"/>
    </xf>
    <xf numFmtId="9" fontId="7" fillId="0" borderId="0" xfId="3" applyFont="1" applyAlignment="1">
      <alignment horizontal="center" vertical="center"/>
    </xf>
    <xf numFmtId="9" fontId="7" fillId="15" borderId="0" xfId="3" applyFont="1" applyFill="1" applyAlignment="1">
      <alignment horizontal="center" vertical="center"/>
    </xf>
    <xf numFmtId="9" fontId="0" fillId="0" borderId="0" xfId="3" applyFont="1" applyAlignment="1">
      <alignment horizontal="center" vertical="center"/>
    </xf>
    <xf numFmtId="3" fontId="0" fillId="0" borderId="0" xfId="0" applyNumberFormat="1" applyAlignment="1">
      <alignment vertical="center"/>
    </xf>
    <xf numFmtId="3" fontId="20" fillId="0" borderId="0" xfId="0" applyNumberFormat="1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32" fillId="2" borderId="1" xfId="0" applyFont="1" applyFill="1" applyBorder="1" applyAlignment="1">
      <alignment vertical="center" wrapText="1"/>
    </xf>
    <xf numFmtId="3" fontId="32" fillId="2" borderId="1" xfId="1" applyNumberFormat="1" applyFont="1" applyFill="1" applyBorder="1" applyAlignment="1">
      <alignment vertical="center"/>
    </xf>
    <xf numFmtId="9" fontId="3" fillId="2" borderId="1" xfId="3" applyFont="1" applyFill="1" applyBorder="1" applyAlignment="1">
      <alignment horizontal="center" vertical="center"/>
    </xf>
    <xf numFmtId="9" fontId="4" fillId="2" borderId="1" xfId="3" applyFont="1" applyFill="1" applyBorder="1" applyAlignment="1">
      <alignment horizontal="center" vertical="center"/>
    </xf>
    <xf numFmtId="9" fontId="3" fillId="2" borderId="2" xfId="3" applyFont="1" applyFill="1" applyBorder="1" applyAlignment="1">
      <alignment vertical="center"/>
    </xf>
    <xf numFmtId="0" fontId="12" fillId="2" borderId="1" xfId="0" applyFont="1" applyFill="1" applyBorder="1" applyAlignment="1">
      <alignment vertical="center" wrapText="1"/>
    </xf>
    <xf numFmtId="3" fontId="12" fillId="2" borderId="1" xfId="1" applyNumberFormat="1" applyFont="1" applyFill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3" fontId="8" fillId="0" borderId="1" xfId="1" applyNumberFormat="1" applyFont="1" applyBorder="1" applyAlignment="1">
      <alignment vertical="center"/>
    </xf>
    <xf numFmtId="3" fontId="7" fillId="0" borderId="1" xfId="1" applyNumberFormat="1" applyFont="1" applyBorder="1" applyAlignment="1">
      <alignment horizontal="center" vertical="center"/>
    </xf>
    <xf numFmtId="3" fontId="7" fillId="0" borderId="2" xfId="1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3" fontId="32" fillId="0" borderId="1" xfId="0" applyNumberFormat="1" applyFont="1" applyFill="1" applyBorder="1" applyAlignment="1">
      <alignment vertical="center"/>
    </xf>
    <xf numFmtId="3" fontId="32" fillId="0" borderId="2" xfId="0" applyNumberFormat="1" applyFont="1" applyFill="1" applyBorder="1" applyAlignment="1">
      <alignment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22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21" fillId="0" borderId="2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7" fillId="0" borderId="1" xfId="1" applyNumberFormat="1" applyFont="1" applyBorder="1" applyAlignment="1">
      <alignment horizontal="right" vertical="center"/>
    </xf>
    <xf numFmtId="164" fontId="7" fillId="0" borderId="1" xfId="1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3" fillId="0" borderId="1" xfId="0" applyFont="1" applyFill="1" applyBorder="1" applyAlignment="1">
      <alignment vertical="center"/>
    </xf>
    <xf numFmtId="3" fontId="1" fillId="0" borderId="1" xfId="1" applyNumberFormat="1" applyFont="1" applyFill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3" fontId="4" fillId="2" borderId="2" xfId="1" applyNumberFormat="1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3" fontId="7" fillId="0" borderId="0" xfId="1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15" borderId="0" xfId="0" applyFont="1" applyFill="1" applyAlignment="1">
      <alignment vertical="center" wrapText="1"/>
    </xf>
    <xf numFmtId="3" fontId="7" fillId="15" borderId="0" xfId="1" applyNumberFormat="1" applyFont="1" applyFill="1" applyAlignment="1">
      <alignment vertical="center"/>
    </xf>
    <xf numFmtId="3" fontId="7" fillId="15" borderId="0" xfId="0" applyNumberFormat="1" applyFont="1" applyFill="1" applyAlignment="1">
      <alignment vertical="center"/>
    </xf>
    <xf numFmtId="0" fontId="7" fillId="15" borderId="0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9" fontId="3" fillId="8" borderId="1" xfId="1" applyNumberFormat="1" applyFont="1" applyFill="1" applyBorder="1" applyAlignment="1">
      <alignment horizontal="center" vertical="center"/>
    </xf>
    <xf numFmtId="9" fontId="33" fillId="8" borderId="1" xfId="3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3" fontId="14" fillId="0" borderId="19" xfId="0" applyNumberFormat="1" applyFont="1" applyFill="1" applyBorder="1" applyAlignment="1">
      <alignment vertical="center"/>
    </xf>
    <xf numFmtId="3" fontId="14" fillId="0" borderId="20" xfId="0" applyNumberFormat="1" applyFont="1" applyFill="1" applyBorder="1" applyAlignment="1">
      <alignment vertical="center"/>
    </xf>
    <xf numFmtId="3" fontId="14" fillId="0" borderId="21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9" fontId="3" fillId="0" borderId="20" xfId="1" applyNumberFormat="1" applyFont="1" applyFill="1" applyBorder="1" applyAlignment="1">
      <alignment vertical="center"/>
    </xf>
    <xf numFmtId="9" fontId="3" fillId="0" borderId="20" xfId="3" applyFont="1" applyFill="1" applyBorder="1" applyAlignment="1">
      <alignment vertical="center"/>
    </xf>
    <xf numFmtId="9" fontId="3" fillId="0" borderId="21" xfId="3" applyFont="1" applyFill="1" applyBorder="1" applyAlignment="1">
      <alignment vertical="center"/>
    </xf>
    <xf numFmtId="9" fontId="3" fillId="0" borderId="3" xfId="3" applyFont="1" applyFill="1" applyBorder="1" applyAlignment="1">
      <alignment vertical="center"/>
    </xf>
    <xf numFmtId="3" fontId="14" fillId="0" borderId="4" xfId="0" applyNumberFormat="1" applyFont="1" applyFill="1" applyBorder="1" applyAlignment="1">
      <alignment vertical="center"/>
    </xf>
    <xf numFmtId="3" fontId="14" fillId="0" borderId="5" xfId="0" applyNumberFormat="1" applyFont="1" applyFill="1" applyBorder="1" applyAlignment="1">
      <alignment vertical="center"/>
    </xf>
    <xf numFmtId="3" fontId="14" fillId="0" borderId="23" xfId="0" applyNumberFormat="1" applyFont="1" applyFill="1" applyBorder="1" applyAlignment="1">
      <alignment vertical="center"/>
    </xf>
    <xf numFmtId="3" fontId="14" fillId="0" borderId="22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9" fontId="3" fillId="0" borderId="5" xfId="1" applyNumberFormat="1" applyFont="1" applyFill="1" applyBorder="1" applyAlignment="1">
      <alignment vertical="center"/>
    </xf>
    <xf numFmtId="9" fontId="3" fillId="0" borderId="5" xfId="3" applyFont="1" applyFill="1" applyBorder="1" applyAlignment="1">
      <alignment vertical="center"/>
    </xf>
    <xf numFmtId="9" fontId="3" fillId="0" borderId="23" xfId="3" applyFont="1" applyFill="1" applyBorder="1" applyAlignment="1">
      <alignment vertical="center"/>
    </xf>
    <xf numFmtId="3" fontId="14" fillId="0" borderId="2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vertical="center"/>
    </xf>
    <xf numFmtId="0" fontId="4" fillId="8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9" fontId="13" fillId="0" borderId="1" xfId="1" applyNumberFormat="1" applyFont="1" applyFill="1" applyBorder="1" applyAlignment="1">
      <alignment vertical="center"/>
    </xf>
    <xf numFmtId="9" fontId="28" fillId="0" borderId="1" xfId="3" applyFont="1" applyFill="1" applyBorder="1" applyAlignment="1">
      <alignment vertical="center"/>
    </xf>
    <xf numFmtId="3" fontId="20" fillId="0" borderId="8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vertical="center"/>
    </xf>
    <xf numFmtId="9" fontId="13" fillId="0" borderId="1" xfId="3" applyFont="1" applyFill="1" applyBorder="1" applyAlignment="1">
      <alignment horizontal="center" vertical="center"/>
    </xf>
    <xf numFmtId="3" fontId="8" fillId="0" borderId="2" xfId="1" applyNumberFormat="1" applyFont="1" applyBorder="1" applyAlignment="1">
      <alignment vertical="center"/>
    </xf>
    <xf numFmtId="165" fontId="3" fillId="2" borderId="1" xfId="1" applyNumberFormat="1" applyFont="1" applyFill="1" applyBorder="1" applyAlignment="1">
      <alignment vertical="center"/>
    </xf>
    <xf numFmtId="9" fontId="13" fillId="2" borderId="1" xfId="3" applyFont="1" applyFill="1" applyBorder="1" applyAlignment="1">
      <alignment horizontal="center" vertical="center"/>
    </xf>
    <xf numFmtId="9" fontId="18" fillId="0" borderId="1" xfId="3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3" fontId="8" fillId="0" borderId="1" xfId="1" applyNumberFormat="1" applyFont="1" applyFill="1" applyBorder="1" applyAlignment="1">
      <alignment vertical="center"/>
    </xf>
    <xf numFmtId="3" fontId="8" fillId="5" borderId="1" xfId="1" applyNumberFormat="1" applyFont="1" applyFill="1" applyBorder="1" applyAlignment="1">
      <alignment vertical="center"/>
    </xf>
    <xf numFmtId="3" fontId="8" fillId="5" borderId="2" xfId="1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165" fontId="7" fillId="0" borderId="0" xfId="1" applyNumberFormat="1" applyFont="1" applyBorder="1" applyAlignment="1">
      <alignment vertical="center"/>
    </xf>
    <xf numFmtId="9" fontId="18" fillId="0" borderId="0" xfId="3" applyFont="1" applyBorder="1" applyAlignment="1">
      <alignment horizontal="center" vertical="center"/>
    </xf>
    <xf numFmtId="9" fontId="18" fillId="0" borderId="0" xfId="3" applyFont="1" applyAlignment="1">
      <alignment horizontal="center" vertical="center"/>
    </xf>
    <xf numFmtId="3" fontId="9" fillId="0" borderId="0" xfId="1" applyNumberFormat="1" applyFont="1" applyBorder="1" applyAlignment="1">
      <alignment vertical="center"/>
    </xf>
    <xf numFmtId="164" fontId="7" fillId="0" borderId="0" xfId="1" applyNumberFormat="1" applyFont="1" applyBorder="1" applyAlignment="1">
      <alignment vertical="center"/>
    </xf>
    <xf numFmtId="3" fontId="34" fillId="7" borderId="1" xfId="1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9" fontId="7" fillId="0" borderId="0" xfId="3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3" fontId="27" fillId="5" borderId="0" xfId="0" applyNumberFormat="1" applyFont="1" applyFill="1" applyBorder="1" applyAlignment="1">
      <alignment horizontal="center" vertical="center"/>
    </xf>
    <xf numFmtId="3" fontId="7" fillId="5" borderId="0" xfId="0" applyNumberFormat="1" applyFont="1" applyFill="1" applyBorder="1" applyAlignment="1">
      <alignment vertical="center"/>
    </xf>
    <xf numFmtId="3" fontId="26" fillId="5" borderId="0" xfId="0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2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3" fontId="42" fillId="0" borderId="0" xfId="1" applyNumberFormat="1" applyFont="1" applyBorder="1" applyAlignment="1">
      <alignment vertical="center"/>
    </xf>
    <xf numFmtId="9" fontId="42" fillId="0" borderId="0" xfId="3" applyFont="1" applyBorder="1" applyAlignment="1">
      <alignment horizontal="center" vertical="center"/>
    </xf>
    <xf numFmtId="0" fontId="7" fillId="10" borderId="0" xfId="0" applyFont="1" applyFill="1" applyBorder="1" applyAlignment="1">
      <alignment vertical="center"/>
    </xf>
    <xf numFmtId="3" fontId="7" fillId="10" borderId="0" xfId="0" applyNumberFormat="1" applyFont="1" applyFill="1" applyBorder="1" applyAlignment="1">
      <alignment vertical="center"/>
    </xf>
    <xf numFmtId="3" fontId="7" fillId="10" borderId="0" xfId="1" applyNumberFormat="1" applyFont="1" applyFill="1" applyBorder="1" applyAlignment="1">
      <alignment vertical="center"/>
    </xf>
    <xf numFmtId="164" fontId="7" fillId="10" borderId="0" xfId="1" applyNumberFormat="1" applyFont="1" applyFill="1" applyBorder="1" applyAlignment="1">
      <alignment vertical="center"/>
    </xf>
    <xf numFmtId="9" fontId="18" fillId="10" borderId="0" xfId="3" applyFont="1" applyFill="1" applyBorder="1" applyAlignment="1">
      <alignment horizontal="center" vertical="center"/>
    </xf>
    <xf numFmtId="9" fontId="18" fillId="10" borderId="0" xfId="3" applyFont="1" applyFill="1" applyAlignment="1">
      <alignment horizontal="center" vertical="center"/>
    </xf>
    <xf numFmtId="9" fontId="7" fillId="10" borderId="0" xfId="3" applyFont="1" applyFill="1" applyAlignment="1">
      <alignment horizontal="center" vertical="center"/>
    </xf>
    <xf numFmtId="0" fontId="44" fillId="0" borderId="0" xfId="0" applyFont="1" applyBorder="1" applyAlignment="1">
      <alignment vertical="center"/>
    </xf>
    <xf numFmtId="3" fontId="44" fillId="0" borderId="0" xfId="0" applyNumberFormat="1" applyFont="1" applyBorder="1" applyAlignment="1">
      <alignment vertical="center"/>
    </xf>
    <xf numFmtId="3" fontId="44" fillId="0" borderId="0" xfId="1" applyNumberFormat="1" applyFont="1" applyBorder="1" applyAlignment="1">
      <alignment vertical="center"/>
    </xf>
    <xf numFmtId="9" fontId="44" fillId="0" borderId="0" xfId="3" applyFont="1" applyBorder="1" applyAlignment="1">
      <alignment horizontal="center" vertical="center"/>
    </xf>
    <xf numFmtId="9" fontId="44" fillId="0" borderId="0" xfId="3" applyFont="1" applyAlignment="1">
      <alignment horizontal="center" vertical="center"/>
    </xf>
    <xf numFmtId="0" fontId="1" fillId="11" borderId="2" xfId="0" applyFont="1" applyFill="1" applyBorder="1" applyAlignment="1">
      <alignment vertical="center"/>
    </xf>
    <xf numFmtId="3" fontId="7" fillId="11" borderId="8" xfId="0" applyNumberFormat="1" applyFont="1" applyFill="1" applyBorder="1" applyAlignment="1">
      <alignment vertical="center"/>
    </xf>
    <xf numFmtId="9" fontId="7" fillId="11" borderId="8" xfId="3" applyFont="1" applyFill="1" applyBorder="1" applyAlignment="1">
      <alignment horizontal="center" vertical="center"/>
    </xf>
    <xf numFmtId="3" fontId="7" fillId="11" borderId="9" xfId="0" applyNumberFormat="1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0" fontId="0" fillId="7" borderId="0" xfId="0" applyFill="1" applyAlignment="1">
      <alignment vertical="center"/>
    </xf>
    <xf numFmtId="3" fontId="20" fillId="0" borderId="1" xfId="0" applyNumberFormat="1" applyFont="1" applyBorder="1" applyAlignment="1">
      <alignment horizontal="center" vertical="center"/>
    </xf>
    <xf numFmtId="0" fontId="1" fillId="7" borderId="0" xfId="0" applyFont="1" applyFill="1" applyAlignment="1">
      <alignment vertical="center"/>
    </xf>
    <xf numFmtId="3" fontId="20" fillId="0" borderId="6" xfId="0" applyNumberFormat="1" applyFont="1" applyBorder="1" applyAlignment="1">
      <alignment horizontal="center" vertical="center"/>
    </xf>
    <xf numFmtId="3" fontId="20" fillId="0" borderId="22" xfId="0" applyNumberFormat="1" applyFont="1" applyBorder="1" applyAlignment="1">
      <alignment horizontal="center" vertical="center"/>
    </xf>
    <xf numFmtId="0" fontId="2" fillId="7" borderId="0" xfId="0" applyFont="1" applyFill="1" applyAlignment="1">
      <alignment vertical="center"/>
    </xf>
    <xf numFmtId="0" fontId="31" fillId="0" borderId="0" xfId="0" applyFont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3" fontId="7" fillId="0" borderId="22" xfId="1" applyNumberFormat="1" applyFont="1" applyFill="1" applyBorder="1" applyAlignment="1">
      <alignment vertical="center"/>
    </xf>
    <xf numFmtId="3" fontId="7" fillId="0" borderId="10" xfId="1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165" fontId="7" fillId="0" borderId="1" xfId="1" applyNumberFormat="1" applyFont="1" applyFill="1" applyBorder="1" applyAlignment="1">
      <alignment vertical="center"/>
    </xf>
    <xf numFmtId="9" fontId="7" fillId="0" borderId="1" xfId="3" applyFont="1" applyFill="1" applyBorder="1" applyAlignment="1">
      <alignment horizontal="center" vertical="center"/>
    </xf>
    <xf numFmtId="9" fontId="2" fillId="0" borderId="1" xfId="3" applyFont="1" applyFill="1" applyBorder="1" applyAlignment="1">
      <alignment horizontal="center" vertical="center"/>
    </xf>
    <xf numFmtId="3" fontId="20" fillId="0" borderId="3" xfId="0" applyNumberFormat="1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vertical="center"/>
    </xf>
    <xf numFmtId="9" fontId="3" fillId="0" borderId="1" xfId="3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165" fontId="26" fillId="0" borderId="20" xfId="0" applyNumberFormat="1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165" fontId="0" fillId="0" borderId="0" xfId="0" applyNumberForma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65" fontId="7" fillId="4" borderId="1" xfId="1" applyNumberFormat="1" applyFont="1" applyFill="1" applyBorder="1" applyAlignment="1">
      <alignment vertical="center"/>
    </xf>
    <xf numFmtId="165" fontId="7" fillId="9" borderId="1" xfId="1" applyNumberFormat="1" applyFont="1" applyFill="1" applyBorder="1" applyAlignment="1">
      <alignment vertical="center"/>
    </xf>
    <xf numFmtId="9" fontId="2" fillId="2" borderId="1" xfId="3" applyFont="1" applyFill="1" applyBorder="1" applyAlignment="1">
      <alignment horizontal="center" vertical="center"/>
    </xf>
    <xf numFmtId="165" fontId="1" fillId="4" borderId="1" xfId="1" applyNumberFormat="1" applyFont="1" applyFill="1" applyBorder="1" applyAlignment="1">
      <alignment vertical="center"/>
    </xf>
    <xf numFmtId="9" fontId="7" fillId="4" borderId="1" xfId="3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65" fontId="3" fillId="0" borderId="1" xfId="1" applyNumberFormat="1" applyFont="1" applyFill="1" applyBorder="1" applyAlignment="1">
      <alignment vertical="center"/>
    </xf>
    <xf numFmtId="3" fontId="20" fillId="0" borderId="23" xfId="0" applyNumberFormat="1" applyFont="1" applyBorder="1" applyAlignment="1">
      <alignment vertical="center"/>
    </xf>
    <xf numFmtId="0" fontId="27" fillId="0" borderId="1" xfId="0" applyFont="1" applyFill="1" applyBorder="1" applyAlignment="1">
      <alignment vertical="center" wrapText="1"/>
    </xf>
    <xf numFmtId="165" fontId="27" fillId="9" borderId="1" xfId="1" applyNumberFormat="1" applyFont="1" applyFill="1" applyBorder="1" applyAlignment="1">
      <alignment vertical="center"/>
    </xf>
    <xf numFmtId="9" fontId="27" fillId="9" borderId="1" xfId="3" applyFont="1" applyFill="1" applyBorder="1" applyAlignment="1">
      <alignment horizontal="center" vertical="center"/>
    </xf>
    <xf numFmtId="165" fontId="27" fillId="0" borderId="1" xfId="1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9" fontId="3" fillId="0" borderId="0" xfId="1" applyNumberFormat="1" applyFont="1" applyFill="1" applyBorder="1" applyAlignment="1">
      <alignment vertical="center"/>
    </xf>
    <xf numFmtId="9" fontId="3" fillId="0" borderId="0" xfId="3" applyFont="1" applyFill="1" applyBorder="1" applyAlignment="1">
      <alignment vertical="center"/>
    </xf>
    <xf numFmtId="3" fontId="32" fillId="0" borderId="0" xfId="0" applyNumberFormat="1" applyFont="1" applyFill="1" applyBorder="1" applyAlignment="1">
      <alignment vertical="center"/>
    </xf>
    <xf numFmtId="3" fontId="14" fillId="0" borderId="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23" fillId="7" borderId="7" xfId="0" applyNumberFormat="1" applyFont="1" applyFill="1" applyBorder="1" applyAlignment="1">
      <alignment horizontal="center" vertical="center"/>
    </xf>
    <xf numFmtId="3" fontId="23" fillId="7" borderId="0" xfId="0" applyNumberFormat="1" applyFont="1" applyFill="1" applyBorder="1" applyAlignment="1">
      <alignment horizontal="center" vertical="center"/>
    </xf>
    <xf numFmtId="0" fontId="4" fillId="8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3" fontId="14" fillId="0" borderId="7" xfId="0" applyNumberFormat="1" applyFont="1" applyFill="1" applyBorder="1" applyAlignment="1">
      <alignment vertical="center"/>
    </xf>
    <xf numFmtId="3" fontId="14" fillId="0" borderId="3" xfId="0" applyNumberFormat="1" applyFont="1" applyFill="1" applyBorder="1" applyAlignment="1">
      <alignment vertical="center"/>
    </xf>
    <xf numFmtId="9" fontId="13" fillId="0" borderId="0" xfId="1" applyNumberFormat="1" applyFont="1" applyFill="1" applyBorder="1" applyAlignment="1">
      <alignment vertical="center"/>
    </xf>
    <xf numFmtId="9" fontId="28" fillId="0" borderId="0" xfId="3" applyFont="1" applyFill="1" applyBorder="1" applyAlignment="1">
      <alignment vertical="center"/>
    </xf>
    <xf numFmtId="9" fontId="28" fillId="0" borderId="3" xfId="3" applyFont="1" applyFill="1" applyBorder="1" applyAlignment="1">
      <alignment vertical="center"/>
    </xf>
    <xf numFmtId="3" fontId="20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3" fontId="7" fillId="0" borderId="7" xfId="1" applyNumberFormat="1" applyFont="1" applyBorder="1" applyAlignment="1">
      <alignment vertical="center"/>
    </xf>
    <xf numFmtId="3" fontId="8" fillId="0" borderId="0" xfId="1" applyNumberFormat="1" applyFont="1" applyBorder="1" applyAlignment="1">
      <alignment vertical="center"/>
    </xf>
    <xf numFmtId="3" fontId="8" fillId="0" borderId="3" xfId="1" applyNumberFormat="1" applyFont="1" applyBorder="1" applyAlignment="1">
      <alignment vertical="center"/>
    </xf>
    <xf numFmtId="165" fontId="8" fillId="0" borderId="7" xfId="1" applyNumberFormat="1" applyFont="1" applyBorder="1" applyAlignment="1">
      <alignment vertical="center"/>
    </xf>
    <xf numFmtId="9" fontId="13" fillId="0" borderId="0" xfId="3" applyFont="1" applyFill="1" applyBorder="1" applyAlignment="1">
      <alignment vertical="center"/>
    </xf>
    <xf numFmtId="9" fontId="13" fillId="0" borderId="3" xfId="3" applyFont="1" applyFill="1" applyBorder="1" applyAlignment="1">
      <alignment vertical="center"/>
    </xf>
    <xf numFmtId="9" fontId="15" fillId="0" borderId="3" xfId="3" applyFont="1" applyFill="1" applyBorder="1" applyAlignment="1">
      <alignment vertical="center"/>
    </xf>
    <xf numFmtId="3" fontId="8" fillId="0" borderId="20" xfId="1" applyNumberFormat="1" applyFont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165" fontId="7" fillId="0" borderId="8" xfId="1" applyNumberFormat="1" applyFont="1" applyFill="1" applyBorder="1" applyAlignment="1">
      <alignment vertical="center"/>
    </xf>
    <xf numFmtId="9" fontId="2" fillId="0" borderId="1" xfId="3" applyFont="1" applyFill="1" applyBorder="1" applyAlignment="1">
      <alignment vertical="center"/>
    </xf>
    <xf numFmtId="165" fontId="7" fillId="0" borderId="9" xfId="1" applyNumberFormat="1" applyFont="1" applyFill="1" applyBorder="1" applyAlignment="1">
      <alignment vertical="center"/>
    </xf>
    <xf numFmtId="165" fontId="1" fillId="0" borderId="1" xfId="1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165" fontId="3" fillId="0" borderId="8" xfId="1" applyNumberFormat="1" applyFont="1" applyFill="1" applyBorder="1" applyAlignment="1">
      <alignment vertical="center"/>
    </xf>
    <xf numFmtId="165" fontId="3" fillId="0" borderId="9" xfId="1" applyNumberFormat="1" applyFont="1" applyFill="1" applyBorder="1" applyAlignment="1">
      <alignment vertical="center"/>
    </xf>
    <xf numFmtId="0" fontId="27" fillId="0" borderId="2" xfId="0" applyFont="1" applyFill="1" applyBorder="1" applyAlignment="1">
      <alignment vertical="center" wrapText="1"/>
    </xf>
    <xf numFmtId="165" fontId="27" fillId="0" borderId="8" xfId="1" applyNumberFormat="1" applyFont="1" applyFill="1" applyBorder="1" applyAlignment="1">
      <alignment vertical="center"/>
    </xf>
    <xf numFmtId="9" fontId="27" fillId="0" borderId="1" xfId="3" applyFont="1" applyFill="1" applyBorder="1" applyAlignment="1">
      <alignment vertical="center"/>
    </xf>
    <xf numFmtId="165" fontId="27" fillId="0" borderId="9" xfId="1" applyNumberFormat="1" applyFont="1" applyFill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3" fontId="7" fillId="0" borderId="3" xfId="1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9" fontId="1" fillId="0" borderId="0" xfId="3" applyFont="1" applyBorder="1" applyAlignment="1">
      <alignment horizontal="center" vertical="center"/>
    </xf>
    <xf numFmtId="9" fontId="1" fillId="0" borderId="3" xfId="3" applyFont="1" applyBorder="1" applyAlignment="1">
      <alignment horizontal="center" vertical="center"/>
    </xf>
    <xf numFmtId="9" fontId="18" fillId="0" borderId="3" xfId="3" applyFont="1" applyBorder="1" applyAlignment="1">
      <alignment horizontal="center" vertical="center"/>
    </xf>
    <xf numFmtId="0" fontId="49" fillId="12" borderId="0" xfId="0" applyFont="1" applyFill="1" applyBorder="1" applyAlignment="1">
      <alignment vertical="center"/>
    </xf>
    <xf numFmtId="3" fontId="48" fillId="12" borderId="7" xfId="0" applyNumberFormat="1" applyFont="1" applyFill="1" applyBorder="1" applyAlignment="1">
      <alignment vertical="center"/>
    </xf>
    <xf numFmtId="3" fontId="48" fillId="12" borderId="0" xfId="0" applyNumberFormat="1" applyFont="1" applyFill="1" applyBorder="1" applyAlignment="1">
      <alignment vertical="center"/>
    </xf>
    <xf numFmtId="3" fontId="48" fillId="12" borderId="3" xfId="0" applyNumberFormat="1" applyFont="1" applyFill="1" applyBorder="1" applyAlignment="1">
      <alignment vertical="center"/>
    </xf>
    <xf numFmtId="9" fontId="107" fillId="12" borderId="0" xfId="3" applyFont="1" applyFill="1" applyBorder="1" applyAlignment="1">
      <alignment horizontal="center" vertical="center"/>
    </xf>
    <xf numFmtId="9" fontId="107" fillId="12" borderId="3" xfId="3" applyFont="1" applyFill="1" applyBorder="1" applyAlignment="1">
      <alignment horizontal="center" vertical="center"/>
    </xf>
    <xf numFmtId="9" fontId="108" fillId="12" borderId="3" xfId="3" applyFont="1" applyFill="1" applyBorder="1" applyAlignment="1">
      <alignment horizontal="center" vertical="center"/>
    </xf>
    <xf numFmtId="0" fontId="3" fillId="14" borderId="0" xfId="0" applyFont="1" applyFill="1" applyBorder="1" applyAlignment="1">
      <alignment vertical="center"/>
    </xf>
    <xf numFmtId="0" fontId="3" fillId="11" borderId="0" xfId="0" applyFont="1" applyFill="1" applyBorder="1" applyAlignment="1">
      <alignment vertical="center"/>
    </xf>
    <xf numFmtId="3" fontId="3" fillId="11" borderId="7" xfId="0" applyNumberFormat="1" applyFont="1" applyFill="1" applyBorder="1" applyAlignment="1">
      <alignment vertical="center"/>
    </xf>
    <xf numFmtId="3" fontId="3" fillId="11" borderId="0" xfId="0" applyNumberFormat="1" applyFont="1" applyFill="1" applyBorder="1" applyAlignment="1">
      <alignment vertical="center"/>
    </xf>
    <xf numFmtId="3" fontId="3" fillId="11" borderId="3" xfId="0" applyNumberFormat="1" applyFont="1" applyFill="1" applyBorder="1" applyAlignment="1">
      <alignment vertical="center"/>
    </xf>
    <xf numFmtId="9" fontId="3" fillId="11" borderId="0" xfId="3" applyFont="1" applyFill="1" applyBorder="1" applyAlignment="1">
      <alignment horizontal="center" vertical="center"/>
    </xf>
    <xf numFmtId="9" fontId="3" fillId="11" borderId="3" xfId="3" applyFont="1" applyFill="1" applyBorder="1" applyAlignment="1">
      <alignment horizontal="center" vertical="center"/>
    </xf>
    <xf numFmtId="9" fontId="13" fillId="11" borderId="3" xfId="3" applyFont="1" applyFill="1" applyBorder="1" applyAlignment="1">
      <alignment horizontal="center" vertical="center"/>
    </xf>
    <xf numFmtId="9" fontId="7" fillId="0" borderId="3" xfId="3" applyFont="1" applyBorder="1" applyAlignment="1">
      <alignment horizontal="center" vertical="center"/>
    </xf>
    <xf numFmtId="3" fontId="1" fillId="0" borderId="7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164" fontId="7" fillId="0" borderId="3" xfId="1" applyNumberFormat="1" applyFont="1" applyBorder="1" applyAlignment="1">
      <alignment vertical="center"/>
    </xf>
    <xf numFmtId="3" fontId="47" fillId="0" borderId="7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64" fontId="7" fillId="0" borderId="5" xfId="1" applyNumberFormat="1" applyFont="1" applyBorder="1" applyAlignment="1">
      <alignment vertical="center"/>
    </xf>
    <xf numFmtId="164" fontId="7" fillId="0" borderId="23" xfId="1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9" fontId="48" fillId="12" borderId="0" xfId="3" applyFont="1" applyFill="1" applyBorder="1" applyAlignment="1">
      <alignment horizontal="center" vertical="center"/>
    </xf>
    <xf numFmtId="9" fontId="48" fillId="12" borderId="3" xfId="3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3" fontId="47" fillId="0" borderId="0" xfId="0" applyNumberFormat="1" applyFont="1" applyBorder="1" applyAlignment="1">
      <alignment vertical="center"/>
    </xf>
    <xf numFmtId="9" fontId="7" fillId="0" borderId="5" xfId="3" applyFont="1" applyBorder="1" applyAlignment="1">
      <alignment horizontal="center" vertical="center"/>
    </xf>
    <xf numFmtId="9" fontId="7" fillId="0" borderId="23" xfId="3" applyFont="1" applyBorder="1" applyAlignment="1">
      <alignment horizontal="center" vertical="center"/>
    </xf>
    <xf numFmtId="3" fontId="14" fillId="0" borderId="32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" fontId="7" fillId="0" borderId="32" xfId="1" applyNumberFormat="1" applyFont="1" applyBorder="1" applyAlignment="1">
      <alignment vertical="center"/>
    </xf>
    <xf numFmtId="3" fontId="8" fillId="0" borderId="33" xfId="1" applyNumberFormat="1" applyFont="1" applyBorder="1" applyAlignment="1">
      <alignment vertical="center"/>
    </xf>
    <xf numFmtId="165" fontId="8" fillId="0" borderId="32" xfId="1" applyNumberFormat="1" applyFont="1" applyBorder="1" applyAlignment="1">
      <alignment vertical="center"/>
    </xf>
    <xf numFmtId="165" fontId="8" fillId="0" borderId="3" xfId="1" applyNumberFormat="1" applyFont="1" applyBorder="1" applyAlignment="1">
      <alignment vertical="center"/>
    </xf>
    <xf numFmtId="9" fontId="13" fillId="0" borderId="33" xfId="3" applyFont="1" applyFill="1" applyBorder="1" applyAlignment="1">
      <alignment vertical="center"/>
    </xf>
    <xf numFmtId="9" fontId="15" fillId="0" borderId="33" xfId="3" applyFont="1" applyFill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3" fontId="7" fillId="0" borderId="33" xfId="1" applyNumberFormat="1" applyFont="1" applyBorder="1" applyAlignment="1">
      <alignment vertical="center"/>
    </xf>
    <xf numFmtId="3" fontId="7" fillId="0" borderId="32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3" fontId="7" fillId="0" borderId="16" xfId="1" applyNumberFormat="1" applyFont="1" applyBorder="1" applyAlignment="1">
      <alignment vertical="center"/>
    </xf>
    <xf numFmtId="3" fontId="7" fillId="0" borderId="18" xfId="1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164" fontId="7" fillId="0" borderId="24" xfId="1" applyNumberFormat="1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9" fontId="50" fillId="0" borderId="0" xfId="3" applyFont="1" applyBorder="1" applyAlignment="1">
      <alignment horizontal="center" vertical="center"/>
    </xf>
    <xf numFmtId="9" fontId="50" fillId="0" borderId="33" xfId="3" applyFont="1" applyBorder="1" applyAlignment="1">
      <alignment horizontal="center" vertical="center"/>
    </xf>
    <xf numFmtId="9" fontId="50" fillId="0" borderId="33" xfId="3" applyNumberFormat="1" applyFont="1" applyBorder="1" applyAlignment="1">
      <alignment horizontal="center" vertical="center"/>
    </xf>
    <xf numFmtId="0" fontId="1" fillId="0" borderId="32" xfId="0" applyFont="1" applyFill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7" fillId="0" borderId="8" xfId="1" applyNumberFormat="1" applyFont="1" applyBorder="1" applyAlignment="1">
      <alignment vertical="center"/>
    </xf>
    <xf numFmtId="9" fontId="50" fillId="0" borderId="8" xfId="3" applyFont="1" applyBorder="1" applyAlignment="1">
      <alignment horizontal="center" vertical="center"/>
    </xf>
    <xf numFmtId="9" fontId="50" fillId="0" borderId="39" xfId="3" applyFont="1" applyBorder="1" applyAlignment="1">
      <alignment horizontal="center" vertical="center"/>
    </xf>
    <xf numFmtId="9" fontId="50" fillId="0" borderId="17" xfId="3" applyNumberFormat="1" applyFont="1" applyBorder="1" applyAlignment="1">
      <alignment horizontal="center" vertical="center"/>
    </xf>
    <xf numFmtId="3" fontId="1" fillId="0" borderId="32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1" fillId="0" borderId="0" xfId="1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" fontId="3" fillId="0" borderId="8" xfId="1" applyNumberFormat="1" applyFont="1" applyBorder="1" applyAlignment="1">
      <alignment vertical="center"/>
    </xf>
    <xf numFmtId="9" fontId="28" fillId="0" borderId="8" xfId="3" applyFont="1" applyBorder="1" applyAlignment="1">
      <alignment horizontal="center" vertical="center"/>
    </xf>
    <xf numFmtId="9" fontId="28" fillId="0" borderId="39" xfId="3" applyFont="1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9" fontId="18" fillId="0" borderId="33" xfId="0" applyNumberFormat="1" applyFont="1" applyBorder="1" applyAlignment="1">
      <alignment horizontal="center" vertical="center"/>
    </xf>
    <xf numFmtId="0" fontId="3" fillId="13" borderId="35" xfId="0" applyFont="1" applyFill="1" applyBorder="1" applyAlignment="1">
      <alignment vertical="center"/>
    </xf>
    <xf numFmtId="0" fontId="3" fillId="13" borderId="26" xfId="0" applyFont="1" applyFill="1" applyBorder="1" applyAlignment="1">
      <alignment vertical="center"/>
    </xf>
    <xf numFmtId="3" fontId="3" fillId="13" borderId="35" xfId="0" applyNumberFormat="1" applyFont="1" applyFill="1" applyBorder="1" applyAlignment="1">
      <alignment vertical="center"/>
    </xf>
    <xf numFmtId="3" fontId="3" fillId="13" borderId="26" xfId="0" applyNumberFormat="1" applyFont="1" applyFill="1" applyBorder="1" applyAlignment="1">
      <alignment vertical="center"/>
    </xf>
    <xf numFmtId="3" fontId="3" fillId="13" borderId="28" xfId="0" applyNumberFormat="1" applyFont="1" applyFill="1" applyBorder="1" applyAlignment="1">
      <alignment vertical="center"/>
    </xf>
    <xf numFmtId="3" fontId="3" fillId="13" borderId="36" xfId="0" applyNumberFormat="1" applyFont="1" applyFill="1" applyBorder="1" applyAlignment="1">
      <alignment vertical="center"/>
    </xf>
    <xf numFmtId="3" fontId="3" fillId="13" borderId="26" xfId="1" applyNumberFormat="1" applyFont="1" applyFill="1" applyBorder="1" applyAlignment="1">
      <alignment vertical="center"/>
    </xf>
    <xf numFmtId="9" fontId="28" fillId="13" borderId="26" xfId="3" applyFont="1" applyFill="1" applyBorder="1" applyAlignment="1">
      <alignment horizontal="center" vertical="center"/>
    </xf>
    <xf numFmtId="9" fontId="28" fillId="13" borderId="28" xfId="3" applyFont="1" applyFill="1" applyBorder="1" applyAlignment="1">
      <alignment horizontal="center" vertical="center"/>
    </xf>
    <xf numFmtId="9" fontId="18" fillId="0" borderId="14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9" fontId="50" fillId="0" borderId="16" xfId="3" applyFont="1" applyBorder="1" applyAlignment="1">
      <alignment horizontal="center" vertical="center"/>
    </xf>
    <xf numFmtId="9" fontId="50" fillId="0" borderId="18" xfId="3" applyFont="1" applyBorder="1" applyAlignment="1">
      <alignment horizontal="center" vertical="center"/>
    </xf>
    <xf numFmtId="9" fontId="18" fillId="0" borderId="18" xfId="0" applyNumberFormat="1" applyFont="1" applyBorder="1" applyAlignment="1">
      <alignment horizontal="center" vertical="center"/>
    </xf>
    <xf numFmtId="164" fontId="7" fillId="0" borderId="33" xfId="1" applyNumberFormat="1" applyFont="1" applyBorder="1" applyAlignment="1">
      <alignment vertical="center"/>
    </xf>
    <xf numFmtId="9" fontId="18" fillId="13" borderId="14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164" fontId="7" fillId="0" borderId="16" xfId="1" applyNumberFormat="1" applyFont="1" applyBorder="1" applyAlignment="1">
      <alignment vertical="center"/>
    </xf>
    <xf numFmtId="164" fontId="7" fillId="0" borderId="18" xfId="1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3" fontId="3" fillId="0" borderId="39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3" fontId="7" fillId="0" borderId="8" xfId="1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3" fontId="3" fillId="0" borderId="8" xfId="1" applyNumberFormat="1" applyFont="1" applyFill="1" applyBorder="1" applyAlignment="1">
      <alignment vertical="center"/>
    </xf>
    <xf numFmtId="0" fontId="7" fillId="0" borderId="37" xfId="0" applyFont="1" applyBorder="1" applyAlignment="1">
      <alignment vertical="center"/>
    </xf>
    <xf numFmtId="164" fontId="7" fillId="0" borderId="38" xfId="1" applyNumberFormat="1" applyFont="1" applyBorder="1" applyAlignment="1">
      <alignment vertical="center"/>
    </xf>
    <xf numFmtId="164" fontId="7" fillId="0" borderId="14" xfId="1" applyNumberFormat="1" applyFont="1" applyBorder="1" applyAlignment="1">
      <alignment vertical="center"/>
    </xf>
    <xf numFmtId="164" fontId="7" fillId="0" borderId="27" xfId="1" applyNumberFormat="1" applyFont="1" applyBorder="1" applyAlignment="1">
      <alignment vertical="center"/>
    </xf>
    <xf numFmtId="9" fontId="50" fillId="0" borderId="38" xfId="3" applyFont="1" applyBorder="1" applyAlignment="1">
      <alignment horizontal="center" vertical="center"/>
    </xf>
    <xf numFmtId="9" fontId="50" fillId="0" borderId="14" xfId="3" applyFont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9" fontId="18" fillId="0" borderId="0" xfId="0" applyNumberFormat="1" applyFont="1" applyBorder="1" applyAlignment="1">
      <alignment horizontal="center" vertical="center"/>
    </xf>
    <xf numFmtId="3" fontId="20" fillId="0" borderId="6" xfId="0" applyNumberFormat="1" applyFont="1" applyBorder="1" applyAlignment="1">
      <alignment horizontal="center"/>
    </xf>
    <xf numFmtId="3" fontId="20" fillId="15" borderId="6" xfId="0" applyNumberFormat="1" applyFont="1" applyFill="1" applyBorder="1" applyAlignment="1">
      <alignment horizontal="center"/>
    </xf>
    <xf numFmtId="3" fontId="20" fillId="0" borderId="1" xfId="0" applyNumberFormat="1" applyFont="1" applyBorder="1" applyAlignment="1">
      <alignment horizontal="center"/>
    </xf>
    <xf numFmtId="9" fontId="3" fillId="2" borderId="1" xfId="3" applyFont="1" applyFill="1" applyBorder="1" applyAlignment="1">
      <alignment vertical="center"/>
    </xf>
    <xf numFmtId="9" fontId="4" fillId="2" borderId="1" xfId="3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3" fontId="7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7" fillId="0" borderId="2" xfId="1" applyNumberFormat="1" applyFont="1" applyBorder="1" applyAlignment="1">
      <alignment horizontal="right" vertical="center"/>
    </xf>
    <xf numFmtId="9" fontId="3" fillId="0" borderId="1" xfId="3" applyFont="1" applyBorder="1" applyAlignment="1">
      <alignment vertical="center"/>
    </xf>
    <xf numFmtId="9" fontId="3" fillId="0" borderId="2" xfId="3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7" fillId="4" borderId="1" xfId="0" applyFont="1" applyFill="1" applyBorder="1" applyAlignment="1">
      <alignment vertical="center" wrapText="1"/>
    </xf>
    <xf numFmtId="3" fontId="20" fillId="15" borderId="6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vertical="center"/>
    </xf>
    <xf numFmtId="9" fontId="37" fillId="2" borderId="1" xfId="3" applyFont="1" applyFill="1" applyBorder="1" applyAlignment="1">
      <alignment horizontal="center" vertical="center"/>
    </xf>
    <xf numFmtId="9" fontId="37" fillId="2" borderId="2" xfId="3" applyFont="1" applyFill="1" applyBorder="1" applyAlignment="1">
      <alignment horizontal="center" vertical="center"/>
    </xf>
    <xf numFmtId="3" fontId="0" fillId="0" borderId="0" xfId="0" applyNumberFormat="1" applyAlignment="1"/>
    <xf numFmtId="0" fontId="0" fillId="7" borderId="0" xfId="0" applyFill="1" applyAlignment="1"/>
    <xf numFmtId="0" fontId="2" fillId="7" borderId="0" xfId="0" applyFont="1" applyFill="1" applyAlignment="1"/>
    <xf numFmtId="3" fontId="32" fillId="2" borderId="1" xfId="1" applyNumberFormat="1" applyFont="1" applyFill="1" applyBorder="1" applyAlignment="1"/>
    <xf numFmtId="9" fontId="4" fillId="2" borderId="1" xfId="3" applyFont="1" applyFill="1" applyBorder="1" applyAlignment="1">
      <alignment horizontal="center"/>
    </xf>
    <xf numFmtId="3" fontId="12" fillId="2" borderId="1" xfId="1" applyNumberFormat="1" applyFont="1" applyFill="1" applyBorder="1" applyAlignment="1"/>
    <xf numFmtId="9" fontId="3" fillId="2" borderId="1" xfId="3" applyFont="1" applyFill="1" applyBorder="1" applyAlignment="1">
      <alignment horizontal="center"/>
    </xf>
    <xf numFmtId="165" fontId="8" fillId="0" borderId="1" xfId="1" applyNumberFormat="1" applyFont="1" applyBorder="1" applyAlignment="1"/>
    <xf numFmtId="3" fontId="20" fillId="0" borderId="6" xfId="0" applyNumberFormat="1" applyFont="1" applyBorder="1" applyAlignment="1"/>
    <xf numFmtId="3" fontId="32" fillId="0" borderId="1" xfId="0" applyNumberFormat="1" applyFont="1" applyFill="1" applyBorder="1" applyAlignment="1"/>
    <xf numFmtId="3" fontId="32" fillId="0" borderId="2" xfId="0" applyNumberFormat="1" applyFont="1" applyFill="1" applyBorder="1" applyAlignment="1"/>
    <xf numFmtId="0" fontId="3" fillId="3" borderId="1" xfId="0" applyFont="1" applyFill="1" applyBorder="1" applyAlignment="1">
      <alignment horizontal="center" wrapText="1"/>
    </xf>
    <xf numFmtId="3" fontId="3" fillId="3" borderId="7" xfId="0" applyNumberFormat="1" applyFont="1" applyFill="1" applyBorder="1" applyAlignment="1">
      <alignment horizontal="center" wrapText="1"/>
    </xf>
    <xf numFmtId="3" fontId="3" fillId="3" borderId="0" xfId="1" applyNumberFormat="1" applyFont="1" applyFill="1" applyBorder="1" applyAlignment="1">
      <alignment horizontal="center" wrapText="1"/>
    </xf>
    <xf numFmtId="3" fontId="3" fillId="3" borderId="3" xfId="1" applyNumberFormat="1" applyFont="1" applyFill="1" applyBorder="1" applyAlignment="1">
      <alignment horizontal="center" wrapText="1"/>
    </xf>
    <xf numFmtId="164" fontId="3" fillId="3" borderId="7" xfId="1" applyNumberFormat="1" applyFont="1" applyFill="1" applyBorder="1" applyAlignment="1">
      <alignment horizontal="center" wrapText="1"/>
    </xf>
    <xf numFmtId="164" fontId="3" fillId="3" borderId="0" xfId="1" applyNumberFormat="1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wrapText="1"/>
    </xf>
    <xf numFmtId="3" fontId="3" fillId="3" borderId="2" xfId="1" applyNumberFormat="1" applyFont="1" applyFill="1" applyBorder="1" applyAlignment="1">
      <alignment horizontal="center" wrapText="1"/>
    </xf>
    <xf numFmtId="0" fontId="24" fillId="3" borderId="1" xfId="0" applyFont="1" applyFill="1" applyBorder="1" applyAlignment="1">
      <alignment horizontal="center" textRotation="90" wrapText="1"/>
    </xf>
    <xf numFmtId="9" fontId="15" fillId="0" borderId="1" xfId="3" applyFont="1" applyFill="1" applyBorder="1" applyAlignment="1">
      <alignment horizontal="center"/>
    </xf>
    <xf numFmtId="3" fontId="4" fillId="2" borderId="2" xfId="1" applyNumberFormat="1" applyFont="1" applyFill="1" applyBorder="1" applyAlignment="1"/>
    <xf numFmtId="9" fontId="15" fillId="2" borderId="1" xfId="3" applyFont="1" applyFill="1" applyBorder="1" applyAlignment="1">
      <alignment horizontal="center"/>
    </xf>
    <xf numFmtId="0" fontId="7" fillId="0" borderId="1" xfId="0" applyFont="1" applyBorder="1" applyAlignment="1"/>
    <xf numFmtId="3" fontId="7" fillId="0" borderId="0" xfId="0" applyNumberFormat="1" applyFont="1" applyAlignment="1">
      <alignment horizontal="center"/>
    </xf>
    <xf numFmtId="3" fontId="7" fillId="15" borderId="0" xfId="1" applyNumberFormat="1" applyFont="1" applyFill="1" applyAlignment="1"/>
    <xf numFmtId="3" fontId="7" fillId="15" borderId="0" xfId="0" applyNumberFormat="1" applyFont="1" applyFill="1" applyAlignment="1"/>
    <xf numFmtId="3" fontId="7" fillId="15" borderId="0" xfId="0" applyNumberFormat="1" applyFont="1" applyFill="1" applyAlignment="1">
      <alignment horizontal="center"/>
    </xf>
    <xf numFmtId="0" fontId="7" fillId="0" borderId="0" xfId="0" applyFont="1" applyAlignment="1"/>
    <xf numFmtId="0" fontId="48" fillId="7" borderId="8" xfId="0" applyFont="1" applyFill="1" applyBorder="1" applyAlignment="1">
      <alignment horizontal="center" vertical="center"/>
    </xf>
    <xf numFmtId="9" fontId="2" fillId="0" borderId="1" xfId="3" applyFont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9" fontId="22" fillId="2" borderId="1" xfId="3" applyFont="1" applyFill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9" fontId="22" fillId="0" borderId="1" xfId="3" applyFont="1" applyFill="1" applyBorder="1" applyAlignment="1">
      <alignment vertical="center"/>
    </xf>
    <xf numFmtId="9" fontId="38" fillId="0" borderId="1" xfId="3" applyFont="1" applyBorder="1" applyAlignment="1">
      <alignment vertical="center"/>
    </xf>
    <xf numFmtId="9" fontId="22" fillId="0" borderId="1" xfId="3" applyFont="1" applyBorder="1" applyAlignment="1">
      <alignment vertical="center"/>
    </xf>
    <xf numFmtId="3" fontId="7" fillId="0" borderId="6" xfId="1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3" fontId="3" fillId="6" borderId="1" xfId="1" applyNumberFormat="1" applyFont="1" applyFill="1" applyBorder="1" applyAlignment="1">
      <alignment vertical="center"/>
    </xf>
    <xf numFmtId="9" fontId="22" fillId="6" borderId="1" xfId="3" applyFont="1" applyFill="1" applyBorder="1" applyAlignment="1">
      <alignment vertical="center"/>
    </xf>
    <xf numFmtId="9" fontId="41" fillId="2" borderId="1" xfId="3" applyFont="1" applyFill="1" applyBorder="1" applyAlignment="1">
      <alignment vertical="center"/>
    </xf>
    <xf numFmtId="3" fontId="20" fillId="0" borderId="0" xfId="0" applyNumberFormat="1" applyFont="1" applyAlignment="1">
      <alignment horizontal="center" vertical="center"/>
    </xf>
    <xf numFmtId="3" fontId="20" fillId="0" borderId="1" xfId="1" applyNumberFormat="1" applyFont="1" applyBorder="1" applyAlignment="1">
      <alignment horizontal="center" vertical="center"/>
    </xf>
    <xf numFmtId="3" fontId="21" fillId="2" borderId="1" xfId="1" applyNumberFormat="1" applyFont="1" applyFill="1" applyBorder="1" applyAlignment="1">
      <alignment horizontal="center" vertical="center"/>
    </xf>
    <xf numFmtId="3" fontId="21" fillId="0" borderId="1" xfId="1" applyNumberFormat="1" applyFont="1" applyBorder="1" applyAlignment="1">
      <alignment horizontal="center" vertical="center"/>
    </xf>
    <xf numFmtId="3" fontId="21" fillId="6" borderId="1" xfId="1" applyNumberFormat="1" applyFont="1" applyFill="1" applyBorder="1" applyAlignment="1">
      <alignment horizontal="center" vertical="center"/>
    </xf>
    <xf numFmtId="3" fontId="21" fillId="2" borderId="1" xfId="0" applyNumberFormat="1" applyFont="1" applyFill="1" applyBorder="1" applyAlignment="1">
      <alignment horizontal="center" vertical="center"/>
    </xf>
    <xf numFmtId="3" fontId="20" fillId="0" borderId="0" xfId="0" applyNumberFormat="1" applyFont="1" applyAlignment="1">
      <alignment horizontal="center"/>
    </xf>
    <xf numFmtId="0" fontId="3" fillId="0" borderId="5" xfId="0" applyFont="1" applyBorder="1" applyAlignment="1">
      <alignment vertical="center"/>
    </xf>
    <xf numFmtId="9" fontId="3" fillId="5" borderId="1" xfId="3" applyFont="1" applyFill="1" applyBorder="1" applyAlignment="1">
      <alignment horizontal="center" vertical="center"/>
    </xf>
    <xf numFmtId="9" fontId="2" fillId="0" borderId="1" xfId="3" applyNumberFormat="1" applyFont="1" applyBorder="1" applyAlignment="1">
      <alignment horizontal="center" vertical="center"/>
    </xf>
    <xf numFmtId="9" fontId="2" fillId="0" borderId="1" xfId="1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9" fontId="15" fillId="2" borderId="1" xfId="1" applyNumberFormat="1" applyFont="1" applyFill="1" applyBorder="1" applyAlignment="1">
      <alignment horizontal="center" vertical="center"/>
    </xf>
    <xf numFmtId="9" fontId="15" fillId="2" borderId="1" xfId="3" applyNumberFormat="1" applyFont="1" applyFill="1" applyBorder="1" applyAlignment="1">
      <alignment horizontal="center" vertical="center"/>
    </xf>
    <xf numFmtId="9" fontId="15" fillId="0" borderId="1" xfId="1" applyNumberFormat="1" applyFont="1" applyBorder="1" applyAlignment="1">
      <alignment horizontal="center" vertical="center"/>
    </xf>
    <xf numFmtId="9" fontId="15" fillId="4" borderId="1" xfId="3" applyNumberFormat="1" applyFont="1" applyFill="1" applyBorder="1" applyAlignment="1">
      <alignment horizontal="center" vertical="center"/>
    </xf>
    <xf numFmtId="9" fontId="2" fillId="4" borderId="1" xfId="3" applyNumberFormat="1" applyFont="1" applyFill="1" applyBorder="1" applyAlignment="1">
      <alignment horizontal="center" vertical="center"/>
    </xf>
    <xf numFmtId="9" fontId="15" fillId="6" borderId="1" xfId="1" applyNumberFormat="1" applyFont="1" applyFill="1" applyBorder="1" applyAlignment="1">
      <alignment horizontal="center" vertical="center"/>
    </xf>
    <xf numFmtId="9" fontId="15" fillId="6" borderId="1" xfId="3" applyNumberFormat="1" applyFont="1" applyFill="1" applyBorder="1" applyAlignment="1">
      <alignment horizontal="center" vertical="center"/>
    </xf>
    <xf numFmtId="9" fontId="37" fillId="2" borderId="1" xfId="0" applyNumberFormat="1" applyFont="1" applyFill="1" applyBorder="1" applyAlignment="1">
      <alignment horizontal="center" vertical="center"/>
    </xf>
    <xf numFmtId="9" fontId="2" fillId="0" borderId="1" xfId="3" applyNumberFormat="1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3" fontId="32" fillId="2" borderId="1" xfId="1" applyNumberFormat="1" applyFont="1" applyFill="1" applyBorder="1" applyAlignment="1">
      <alignment horizontal="center"/>
    </xf>
    <xf numFmtId="3" fontId="4" fillId="2" borderId="1" xfId="1" applyNumberFormat="1" applyFont="1" applyFill="1" applyBorder="1" applyAlignment="1">
      <alignment horizontal="center"/>
    </xf>
    <xf numFmtId="3" fontId="12" fillId="2" borderId="1" xfId="1" applyNumberFormat="1" applyFont="1" applyFill="1" applyBorder="1" applyAlignment="1">
      <alignment horizontal="center"/>
    </xf>
    <xf numFmtId="3" fontId="3" fillId="2" borderId="1" xfId="1" applyNumberFormat="1" applyFont="1" applyFill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9" fontId="15" fillId="0" borderId="1" xfId="3" applyFont="1" applyBorder="1" applyAlignment="1">
      <alignment horizontal="center"/>
    </xf>
    <xf numFmtId="9" fontId="15" fillId="0" borderId="10" xfId="3" applyFont="1" applyFill="1" applyBorder="1" applyAlignment="1">
      <alignment horizontal="center"/>
    </xf>
    <xf numFmtId="9" fontId="2" fillId="0" borderId="1" xfId="3" applyFont="1" applyFill="1" applyBorder="1" applyAlignment="1">
      <alignment horizontal="center"/>
    </xf>
    <xf numFmtId="9" fontId="3" fillId="0" borderId="0" xfId="3" applyFont="1" applyFill="1" applyBorder="1" applyAlignment="1">
      <alignment horizontal="center"/>
    </xf>
    <xf numFmtId="9" fontId="7" fillId="15" borderId="0" xfId="3" applyFont="1" applyFill="1" applyAlignment="1">
      <alignment horizontal="center"/>
    </xf>
    <xf numFmtId="3" fontId="20" fillId="0" borderId="1" xfId="1" applyNumberFormat="1" applyFont="1" applyBorder="1" applyAlignment="1">
      <alignment horizontal="center"/>
    </xf>
    <xf numFmtId="9" fontId="22" fillId="5" borderId="1" xfId="3" applyFont="1" applyFill="1" applyBorder="1" applyAlignment="1">
      <alignment horizontal="center"/>
    </xf>
    <xf numFmtId="9" fontId="7" fillId="0" borderId="2" xfId="3" applyFont="1" applyBorder="1" applyAlignment="1">
      <alignment horizontal="center"/>
    </xf>
    <xf numFmtId="9" fontId="22" fillId="0" borderId="1" xfId="3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9" fontId="22" fillId="0" borderId="10" xfId="3" applyFont="1" applyFill="1" applyBorder="1" applyAlignment="1">
      <alignment horizontal="center"/>
    </xf>
    <xf numFmtId="9" fontId="7" fillId="0" borderId="19" xfId="3" applyFont="1" applyBorder="1" applyAlignment="1">
      <alignment horizontal="center"/>
    </xf>
    <xf numFmtId="9" fontId="7" fillId="0" borderId="2" xfId="3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7" fillId="15" borderId="0" xfId="0" applyFont="1" applyFill="1" applyBorder="1" applyAlignment="1">
      <alignment horizontal="center"/>
    </xf>
    <xf numFmtId="9" fontId="7" fillId="0" borderId="2" xfId="3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15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/>
    </xf>
    <xf numFmtId="3" fontId="0" fillId="0" borderId="0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3" fontId="36" fillId="0" borderId="0" xfId="0" applyNumberFormat="1" applyFont="1" applyBorder="1" applyAlignment="1"/>
    <xf numFmtId="3" fontId="20" fillId="0" borderId="0" xfId="0" applyNumberFormat="1" applyFont="1" applyAlignment="1"/>
    <xf numFmtId="9" fontId="3" fillId="2" borderId="2" xfId="3" applyFont="1" applyFill="1" applyBorder="1" applyAlignment="1">
      <alignment horizontal="center"/>
    </xf>
    <xf numFmtId="9" fontId="7" fillId="0" borderId="1" xfId="3" applyFont="1" applyBorder="1" applyAlignment="1">
      <alignment horizontal="center"/>
    </xf>
    <xf numFmtId="3" fontId="3" fillId="2" borderId="2" xfId="1" applyNumberFormat="1" applyFont="1" applyFill="1" applyBorder="1" applyAlignment="1"/>
    <xf numFmtId="164" fontId="3" fillId="2" borderId="2" xfId="1" applyNumberFormat="1" applyFont="1" applyFill="1" applyBorder="1" applyAlignment="1"/>
    <xf numFmtId="3" fontId="3" fillId="2" borderId="2" xfId="1" applyNumberFormat="1" applyFont="1" applyFill="1" applyBorder="1" applyAlignment="1">
      <alignment horizontal="right"/>
    </xf>
    <xf numFmtId="164" fontId="7" fillId="0" borderId="1" xfId="1" applyNumberFormat="1" applyFont="1" applyBorder="1" applyAlignment="1"/>
    <xf numFmtId="3" fontId="1" fillId="0" borderId="2" xfId="1" applyNumberFormat="1" applyFont="1" applyBorder="1" applyAlignment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/>
    <xf numFmtId="3" fontId="3" fillId="0" borderId="2" xfId="1" applyNumberFormat="1" applyFont="1" applyFill="1" applyBorder="1" applyAlignment="1"/>
    <xf numFmtId="3" fontId="3" fillId="0" borderId="2" xfId="1" applyNumberFormat="1" applyFont="1" applyBorder="1" applyAlignment="1"/>
    <xf numFmtId="164" fontId="3" fillId="0" borderId="1" xfId="1" applyNumberFormat="1" applyFont="1" applyBorder="1" applyAlignment="1"/>
    <xf numFmtId="165" fontId="4" fillId="0" borderId="1" xfId="1" applyNumberFormat="1" applyFont="1" applyBorder="1" applyAlignment="1"/>
    <xf numFmtId="3" fontId="1" fillId="0" borderId="1" xfId="1" applyNumberFormat="1" applyFont="1" applyFill="1" applyBorder="1" applyAlignment="1"/>
    <xf numFmtId="3" fontId="4" fillId="2" borderId="2" xfId="0" applyNumberFormat="1" applyFont="1" applyFill="1" applyBorder="1" applyAlignment="1"/>
    <xf numFmtId="164" fontId="4" fillId="2" borderId="2" xfId="1" applyNumberFormat="1" applyFont="1" applyFill="1" applyBorder="1" applyAlignment="1"/>
    <xf numFmtId="9" fontId="15" fillId="5" borderId="1" xfId="3" applyFont="1" applyFill="1" applyBorder="1" applyAlignment="1">
      <alignment horizontal="center"/>
    </xf>
    <xf numFmtId="3" fontId="4" fillId="2" borderId="2" xfId="1" applyNumberFormat="1" applyFont="1" applyFill="1" applyBorder="1" applyAlignment="1">
      <alignment horizontal="right"/>
    </xf>
    <xf numFmtId="0" fontId="25" fillId="2" borderId="1" xfId="0" applyFont="1" applyFill="1" applyBorder="1" applyAlignment="1">
      <alignment wrapText="1"/>
    </xf>
    <xf numFmtId="3" fontId="25" fillId="2" borderId="1" xfId="1" applyNumberFormat="1" applyFont="1" applyFill="1" applyBorder="1" applyAlignment="1"/>
    <xf numFmtId="164" fontId="3" fillId="2" borderId="1" xfId="1" applyNumberFormat="1" applyFont="1" applyFill="1" applyBorder="1" applyAlignment="1"/>
    <xf numFmtId="3" fontId="3" fillId="5" borderId="1" xfId="0" applyNumberFormat="1" applyFont="1" applyFill="1" applyBorder="1" applyAlignment="1"/>
    <xf numFmtId="3" fontId="3" fillId="5" borderId="1" xfId="1" applyNumberFormat="1" applyFont="1" applyFill="1" applyBorder="1" applyAlignment="1"/>
    <xf numFmtId="164" fontId="3" fillId="5" borderId="1" xfId="1" applyNumberFormat="1" applyFont="1" applyFill="1" applyBorder="1" applyAlignment="1"/>
    <xf numFmtId="3" fontId="3" fillId="5" borderId="1" xfId="1" applyNumberFormat="1" applyFont="1" applyFill="1" applyBorder="1" applyAlignment="1">
      <alignment horizontal="right"/>
    </xf>
    <xf numFmtId="0" fontId="8" fillId="4" borderId="1" xfId="0" applyFont="1" applyFill="1" applyBorder="1" applyAlignment="1">
      <alignment wrapText="1"/>
    </xf>
    <xf numFmtId="3" fontId="8" fillId="4" borderId="2" xfId="0" applyNumberFormat="1" applyFont="1" applyFill="1" applyBorder="1" applyAlignment="1"/>
    <xf numFmtId="3" fontId="8" fillId="4" borderId="2" xfId="1" applyNumberFormat="1" applyFont="1" applyFill="1" applyBorder="1" applyAlignment="1"/>
    <xf numFmtId="164" fontId="8" fillId="4" borderId="2" xfId="1" applyNumberFormat="1" applyFont="1" applyFill="1" applyBorder="1" applyAlignment="1"/>
    <xf numFmtId="164" fontId="7" fillId="4" borderId="1" xfId="1" applyNumberFormat="1" applyFont="1" applyFill="1" applyBorder="1" applyAlignment="1"/>
    <xf numFmtId="3" fontId="7" fillId="4" borderId="2" xfId="0" applyNumberFormat="1" applyFont="1" applyFill="1" applyBorder="1" applyAlignment="1"/>
    <xf numFmtId="3" fontId="25" fillId="2" borderId="2" xfId="1" applyNumberFormat="1" applyFont="1" applyFill="1" applyBorder="1" applyAlignment="1"/>
    <xf numFmtId="3" fontId="25" fillId="2" borderId="2" xfId="1" applyNumberFormat="1" applyFont="1" applyFill="1" applyBorder="1" applyAlignment="1">
      <alignment horizontal="right"/>
    </xf>
    <xf numFmtId="9" fontId="15" fillId="0" borderId="0" xfId="3" applyFont="1" applyFill="1" applyBorder="1" applyAlignment="1">
      <alignment horizontal="center"/>
    </xf>
    <xf numFmtId="9" fontId="0" fillId="0" borderId="0" xfId="3" applyFont="1" applyAlignment="1">
      <alignment horizontal="center"/>
    </xf>
    <xf numFmtId="3" fontId="1" fillId="0" borderId="0" xfId="0" applyNumberFormat="1" applyFont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3" fontId="3" fillId="0" borderId="5" xfId="0" applyNumberFormat="1" applyFont="1" applyBorder="1" applyAlignment="1">
      <alignment vertical="center"/>
    </xf>
    <xf numFmtId="9" fontId="7" fillId="0" borderId="0" xfId="3" applyFont="1"/>
    <xf numFmtId="3" fontId="3" fillId="0" borderId="1" xfId="1" applyNumberFormat="1" applyFont="1" applyBorder="1" applyAlignment="1">
      <alignment horizontal="right" vertical="center"/>
    </xf>
    <xf numFmtId="3" fontId="7" fillId="7" borderId="7" xfId="0" applyNumberFormat="1" applyFont="1" applyFill="1" applyBorder="1" applyAlignment="1">
      <alignment vertical="center"/>
    </xf>
    <xf numFmtId="0" fontId="26" fillId="10" borderId="20" xfId="0" applyFont="1" applyFill="1" applyBorder="1" applyAlignment="1">
      <alignment vertical="center"/>
    </xf>
    <xf numFmtId="3" fontId="32" fillId="0" borderId="19" xfId="0" applyNumberFormat="1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" fontId="3" fillId="0" borderId="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32" fillId="0" borderId="29" xfId="0" applyNumberFormat="1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25" xfId="0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3" fontId="3" fillId="0" borderId="4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4" fillId="9" borderId="10" xfId="0" applyFont="1" applyFill="1" applyBorder="1" applyAlignment="1">
      <alignment horizontal="center" vertical="center" textRotation="90" wrapText="1"/>
    </xf>
    <xf numFmtId="0" fontId="0" fillId="9" borderId="6" xfId="0" applyFill="1" applyBorder="1" applyAlignment="1">
      <alignment vertical="center"/>
    </xf>
    <xf numFmtId="0" fontId="0" fillId="9" borderId="22" xfId="0" applyFill="1" applyBorder="1" applyAlignment="1">
      <alignment vertical="center"/>
    </xf>
    <xf numFmtId="0" fontId="36" fillId="0" borderId="7" xfId="0" applyFont="1" applyBorder="1" applyAlignment="1">
      <alignment vertical="center"/>
    </xf>
    <xf numFmtId="0" fontId="39" fillId="0" borderId="0" xfId="0" applyFont="1" applyAlignment="1">
      <alignment vertical="center"/>
    </xf>
    <xf numFmtId="3" fontId="32" fillId="0" borderId="2" xfId="0" applyNumberFormat="1" applyFont="1" applyFill="1" applyBorder="1" applyAlignment="1">
      <alignment horizontal="center" vertical="center"/>
    </xf>
    <xf numFmtId="0" fontId="19" fillId="0" borderId="8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3" xfId="0" applyBorder="1" applyAlignment="1">
      <alignment vertical="center"/>
    </xf>
    <xf numFmtId="3" fontId="32" fillId="0" borderId="4" xfId="0" applyNumberFormat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30" fillId="0" borderId="8" xfId="0" applyFont="1" applyBorder="1" applyAlignment="1">
      <alignment vertical="center"/>
    </xf>
    <xf numFmtId="0" fontId="30" fillId="0" borderId="9" xfId="0" applyFont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19" fillId="0" borderId="23" xfId="0" applyFont="1" applyFill="1" applyBorder="1" applyAlignment="1">
      <alignment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3" fontId="32" fillId="0" borderId="8" xfId="0" applyNumberFormat="1" applyFont="1" applyFill="1" applyBorder="1" applyAlignment="1">
      <alignment horizontal="center" vertical="center"/>
    </xf>
    <xf numFmtId="3" fontId="32" fillId="0" borderId="9" xfId="0" applyNumberFormat="1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2" fillId="0" borderId="2" xfId="0" applyNumberFormat="1" applyFont="1" applyFill="1" applyBorder="1" applyAlignment="1">
      <alignment horizontal="center"/>
    </xf>
    <xf numFmtId="3" fontId="32" fillId="0" borderId="8" xfId="0" applyNumberFormat="1" applyFont="1" applyFill="1" applyBorder="1" applyAlignment="1">
      <alignment horizontal="center"/>
    </xf>
    <xf numFmtId="3" fontId="32" fillId="0" borderId="9" xfId="0" applyNumberFormat="1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0" fontId="12" fillId="38" borderId="54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12" fillId="38" borderId="58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100" fillId="0" borderId="106" xfId="54" applyFont="1" applyBorder="1" applyAlignment="1">
      <alignment horizontal="left" vertical="center" wrapText="1"/>
    </xf>
    <xf numFmtId="49" fontId="100" fillId="0" borderId="107" xfId="0" applyNumberFormat="1" applyFont="1" applyBorder="1" applyAlignment="1">
      <alignment horizontal="right" vertical="center"/>
    </xf>
    <xf numFmtId="49" fontId="100" fillId="0" borderId="108" xfId="0" applyNumberFormat="1" applyFont="1" applyBorder="1" applyAlignment="1">
      <alignment horizontal="right" vertical="center"/>
    </xf>
    <xf numFmtId="0" fontId="78" fillId="0" borderId="0" xfId="0" applyFont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49" fontId="8" fillId="0" borderId="0" xfId="54" applyNumberFormat="1" applyFont="1" applyFill="1" applyBorder="1" applyAlignment="1">
      <alignment horizontal="right"/>
    </xf>
    <xf numFmtId="49" fontId="0" fillId="0" borderId="104" xfId="0" applyNumberFormat="1" applyFont="1" applyBorder="1" applyAlignment="1">
      <alignment horizontal="center"/>
    </xf>
    <xf numFmtId="49" fontId="0" fillId="0" borderId="77" xfId="0" applyNumberFormat="1" applyFont="1" applyBorder="1" applyAlignment="1">
      <alignment horizontal="center"/>
    </xf>
    <xf numFmtId="49" fontId="0" fillId="0" borderId="105" xfId="0" applyNumberFormat="1" applyFont="1" applyBorder="1" applyAlignment="1">
      <alignment horizontal="center"/>
    </xf>
    <xf numFmtId="49" fontId="3" fillId="0" borderId="101" xfId="54" applyNumberFormat="1" applyFont="1" applyBorder="1" applyAlignment="1">
      <alignment horizontal="center" vertical="center" wrapText="1"/>
    </xf>
    <xf numFmtId="49" fontId="3" fillId="0" borderId="102" xfId="54" applyNumberFormat="1" applyFont="1" applyBorder="1" applyAlignment="1">
      <alignment horizontal="center" vertical="center" wrapText="1"/>
    </xf>
    <xf numFmtId="49" fontId="3" fillId="0" borderId="103" xfId="54" applyNumberFormat="1" applyFont="1" applyBorder="1" applyAlignment="1">
      <alignment horizontal="center" vertical="center" wrapText="1"/>
    </xf>
    <xf numFmtId="0" fontId="12" fillId="38" borderId="58" xfId="0" applyFont="1" applyFill="1" applyBorder="1" applyAlignment="1">
      <alignment horizontal="center" vertical="top" wrapText="1"/>
    </xf>
    <xf numFmtId="0" fontId="3" fillId="0" borderId="59" xfId="0" applyFont="1" applyBorder="1"/>
    <xf numFmtId="0" fontId="3" fillId="0" borderId="60" xfId="0" applyFont="1" applyBorder="1"/>
    <xf numFmtId="0" fontId="19" fillId="38" borderId="7" xfId="0" applyFont="1" applyFill="1" applyBorder="1" applyAlignment="1">
      <alignment horizontal="center" vertical="top" wrapText="1"/>
    </xf>
    <xf numFmtId="0" fontId="19" fillId="38" borderId="0" xfId="0" applyFont="1" applyFill="1" applyBorder="1" applyAlignment="1">
      <alignment horizontal="center" vertical="top" wrapText="1"/>
    </xf>
    <xf numFmtId="167" fontId="81" fillId="0" borderId="67" xfId="0" applyNumberFormat="1" applyFont="1" applyFill="1" applyBorder="1" applyAlignment="1">
      <alignment horizontal="center" vertical="center" wrapText="1"/>
    </xf>
    <xf numFmtId="167" fontId="81" fillId="0" borderId="67" xfId="0" applyNumberFormat="1" applyFont="1" applyFill="1" applyBorder="1" applyAlignment="1">
      <alignment horizontal="center" vertical="center"/>
    </xf>
    <xf numFmtId="167" fontId="81" fillId="0" borderId="68" xfId="0" applyNumberFormat="1" applyFont="1" applyFill="1" applyBorder="1" applyAlignment="1">
      <alignment horizontal="center" vertical="center" wrapText="1"/>
    </xf>
    <xf numFmtId="167" fontId="81" fillId="0" borderId="69" xfId="0" applyNumberFormat="1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86" fillId="0" borderId="79" xfId="0" applyFont="1" applyFill="1" applyBorder="1" applyAlignment="1">
      <alignment horizontal="right"/>
    </xf>
    <xf numFmtId="0" fontId="81" fillId="0" borderId="80" xfId="0" applyFont="1" applyFill="1" applyBorder="1" applyAlignment="1">
      <alignment horizontal="center" vertical="center" wrapText="1"/>
    </xf>
    <xf numFmtId="0" fontId="81" fillId="0" borderId="75" xfId="0" applyFont="1" applyFill="1" applyBorder="1" applyAlignment="1">
      <alignment horizontal="center" vertical="center" wrapText="1"/>
    </xf>
    <xf numFmtId="0" fontId="81" fillId="0" borderId="81" xfId="0" applyFont="1" applyFill="1" applyBorder="1" applyAlignment="1">
      <alignment horizontal="center" vertical="center" wrapText="1"/>
    </xf>
    <xf numFmtId="0" fontId="81" fillId="0" borderId="72" xfId="0" applyFont="1" applyFill="1" applyBorder="1" applyAlignment="1">
      <alignment horizontal="center"/>
    </xf>
    <xf numFmtId="0" fontId="81" fillId="0" borderId="73" xfId="0" applyFont="1" applyFill="1" applyBorder="1" applyAlignment="1">
      <alignment horizontal="center" vertical="center" wrapText="1"/>
    </xf>
    <xf numFmtId="0" fontId="81" fillId="0" borderId="83" xfId="0" applyFont="1" applyFill="1" applyBorder="1" applyAlignment="1">
      <alignment horizontal="left" vertical="center" wrapText="1"/>
    </xf>
    <xf numFmtId="166" fontId="82" fillId="0" borderId="82" xfId="53" applyNumberFormat="1" applyFont="1" applyFill="1" applyBorder="1" applyAlignment="1" applyProtection="1">
      <alignment horizontal="left" vertical="center"/>
    </xf>
    <xf numFmtId="166" fontId="81" fillId="0" borderId="83" xfId="53" applyNumberFormat="1" applyFont="1" applyFill="1" applyBorder="1" applyAlignment="1" applyProtection="1">
      <alignment horizontal="left" vertical="center" wrapText="1"/>
    </xf>
    <xf numFmtId="166" fontId="87" fillId="0" borderId="82" xfId="53" applyNumberFormat="1" applyFont="1" applyFill="1" applyBorder="1" applyAlignment="1" applyProtection="1">
      <alignment horizontal="left" vertical="center"/>
    </xf>
    <xf numFmtId="0" fontId="88" fillId="0" borderId="0" xfId="0" applyFont="1" applyAlignment="1">
      <alignment horizontal="center" vertical="top"/>
    </xf>
    <xf numFmtId="0" fontId="88" fillId="0" borderId="0" xfId="0" applyFont="1" applyAlignment="1"/>
    <xf numFmtId="0" fontId="0" fillId="0" borderId="0" xfId="0" applyAlignment="1"/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8" fillId="0" borderId="29" xfId="0" applyFont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102" fillId="38" borderId="31" xfId="0" applyFont="1" applyFill="1" applyBorder="1" applyAlignment="1">
      <alignment horizontal="center" vertical="center" wrapText="1"/>
    </xf>
    <xf numFmtId="0" fontId="102" fillId="38" borderId="16" xfId="0" applyFont="1" applyFill="1" applyBorder="1" applyAlignment="1">
      <alignment horizontal="center" vertical="center" wrapText="1"/>
    </xf>
    <xf numFmtId="0" fontId="102" fillId="38" borderId="18" xfId="0" applyFont="1" applyFill="1" applyBorder="1" applyAlignment="1">
      <alignment horizontal="center" vertical="center" wrapText="1"/>
    </xf>
    <xf numFmtId="0" fontId="102" fillId="38" borderId="37" xfId="0" applyFont="1" applyFill="1" applyBorder="1" applyAlignment="1">
      <alignment horizontal="center" vertical="center" wrapText="1"/>
    </xf>
    <xf numFmtId="0" fontId="102" fillId="38" borderId="38" xfId="0" applyFont="1" applyFill="1" applyBorder="1" applyAlignment="1">
      <alignment horizontal="center" vertical="center" wrapText="1"/>
    </xf>
    <xf numFmtId="0" fontId="102" fillId="38" borderId="14" xfId="0" applyFont="1" applyFill="1" applyBorder="1" applyAlignment="1">
      <alignment horizontal="center" vertical="center" wrapText="1"/>
    </xf>
    <xf numFmtId="0" fontId="96" fillId="0" borderId="0" xfId="55" applyFont="1" applyBorder="1" applyAlignment="1">
      <alignment horizontal="center" vertical="center"/>
    </xf>
    <xf numFmtId="0" fontId="97" fillId="0" borderId="0" xfId="55" applyFont="1" applyBorder="1" applyAlignment="1">
      <alignment horizontal="center" vertical="center"/>
    </xf>
    <xf numFmtId="0" fontId="54" fillId="0" borderId="0" xfId="55" applyFont="1" applyFill="1" applyBorder="1" applyAlignment="1">
      <alignment horizontal="left" vertical="top"/>
    </xf>
    <xf numFmtId="0" fontId="19" fillId="38" borderId="7" xfId="0" applyFont="1" applyFill="1" applyBorder="1" applyAlignment="1">
      <alignment horizontal="center" vertical="center" wrapText="1"/>
    </xf>
    <xf numFmtId="0" fontId="19" fillId="38" borderId="0" xfId="0" applyFont="1" applyFill="1" applyBorder="1" applyAlignment="1">
      <alignment horizontal="center" vertical="center" wrapText="1"/>
    </xf>
    <xf numFmtId="0" fontId="92" fillId="0" borderId="111" xfId="0" applyFont="1" applyBorder="1" applyAlignment="1">
      <alignment horizontal="center" vertical="center"/>
    </xf>
    <xf numFmtId="0" fontId="92" fillId="0" borderId="112" xfId="0" applyFont="1" applyBorder="1" applyAlignment="1">
      <alignment horizontal="center" vertical="center" wrapText="1"/>
    </xf>
    <xf numFmtId="0" fontId="92" fillId="0" borderId="59" xfId="0" applyFont="1" applyBorder="1" applyAlignment="1">
      <alignment horizontal="center" vertical="center" wrapText="1"/>
    </xf>
    <xf numFmtId="0" fontId="92" fillId="0" borderId="60" xfId="0" applyFont="1" applyFill="1" applyBorder="1" applyAlignment="1">
      <alignment horizontal="center" vertical="center" wrapText="1"/>
    </xf>
    <xf numFmtId="0" fontId="99" fillId="0" borderId="113" xfId="0" applyFont="1" applyBorder="1"/>
    <xf numFmtId="0" fontId="99" fillId="0" borderId="23" xfId="0" applyFont="1" applyBorder="1"/>
    <xf numFmtId="0" fontId="99" fillId="0" borderId="22" xfId="0" applyFont="1" applyBorder="1"/>
    <xf numFmtId="0" fontId="98" fillId="0" borderId="63" xfId="0" applyFont="1" applyBorder="1"/>
    <xf numFmtId="0" fontId="99" fillId="0" borderId="114" xfId="0" applyFont="1" applyBorder="1"/>
    <xf numFmtId="0" fontId="99" fillId="0" borderId="9" xfId="0" applyFont="1" applyBorder="1"/>
    <xf numFmtId="0" fontId="92" fillId="0" borderId="114" xfId="0" applyFont="1" applyBorder="1"/>
    <xf numFmtId="3" fontId="99" fillId="0" borderId="9" xfId="0" applyNumberFormat="1" applyFont="1" applyBorder="1"/>
    <xf numFmtId="0" fontId="0" fillId="0" borderId="115" xfId="0" applyBorder="1"/>
    <xf numFmtId="3" fontId="0" fillId="0" borderId="36" xfId="0" applyNumberFormat="1" applyBorder="1"/>
  </cellXfs>
  <cellStyles count="57">
    <cellStyle name="1. jelölőszín 2" xfId="4"/>
    <cellStyle name="2. jelölőszín 2" xfId="5"/>
    <cellStyle name="20% - 1. jelölőszín 2" xfId="6"/>
    <cellStyle name="20% - 2. jelölőszín 2" xfId="7"/>
    <cellStyle name="20% - 3. jelölőszín 2" xfId="8"/>
    <cellStyle name="20% - 4. jelölőszín 2" xfId="9"/>
    <cellStyle name="20% - 5. jelölőszín 2" xfId="10"/>
    <cellStyle name="20% - 6. jelölőszín 2" xfId="11"/>
    <cellStyle name="3. jelölőszín 2" xfId="12"/>
    <cellStyle name="4. jelölőszín 2" xfId="13"/>
    <cellStyle name="40% - 1. jelölőszín 2" xfId="14"/>
    <cellStyle name="40% - 2. jelölőszín 2" xfId="15"/>
    <cellStyle name="40% - 3. jelölőszín 2" xfId="16"/>
    <cellStyle name="40% - 4. jelölőszín 2" xfId="17"/>
    <cellStyle name="40% - 5. jelölőszín 2" xfId="18"/>
    <cellStyle name="40% - 6. jelölőszín 2" xfId="19"/>
    <cellStyle name="5. jelölőszín 2" xfId="20"/>
    <cellStyle name="6. jelölőszín 2" xfId="21"/>
    <cellStyle name="60% - 1. jelölőszín 2" xfId="22"/>
    <cellStyle name="60% - 2. jelölőszín 2" xfId="23"/>
    <cellStyle name="60% - 3. jelölőszín 2" xfId="24"/>
    <cellStyle name="60% - 4. jelölőszín 2" xfId="25"/>
    <cellStyle name="60% - 5. jelölőszín 2" xfId="26"/>
    <cellStyle name="60% - 6. jelölőszín 2" xfId="27"/>
    <cellStyle name="Bevitel 2" xfId="28"/>
    <cellStyle name="Cím 2" xfId="29"/>
    <cellStyle name="Címsor 1 2" xfId="30"/>
    <cellStyle name="Címsor 2 2" xfId="31"/>
    <cellStyle name="Címsor 3 2" xfId="32"/>
    <cellStyle name="Címsor 4 2" xfId="33"/>
    <cellStyle name="Ellenőrzőcella 2" xfId="34"/>
    <cellStyle name="Excel Built-in Normal" xfId="55"/>
    <cellStyle name="Ezres" xfId="1" builtinId="3"/>
    <cellStyle name="Ezres 2" xfId="35"/>
    <cellStyle name="Figyelmeztetés 2" xfId="36"/>
    <cellStyle name="Hivatkozott cella 2" xfId="37"/>
    <cellStyle name="Jegyzet 2" xfId="38"/>
    <cellStyle name="Jelölőszín (1)" xfId="39"/>
    <cellStyle name="Jelölőszín (2)" xfId="40"/>
    <cellStyle name="Jelölőszín (3)" xfId="41"/>
    <cellStyle name="Jelölőszín (4)" xfId="42"/>
    <cellStyle name="Jelölőszín (5)" xfId="43"/>
    <cellStyle name="Jelölőszín (6)" xfId="44"/>
    <cellStyle name="Jó 2" xfId="45"/>
    <cellStyle name="Kimenet 2" xfId="46"/>
    <cellStyle name="Magyarázó szöveg 2" xfId="47"/>
    <cellStyle name="Normál" xfId="0" builtinId="0"/>
    <cellStyle name="Normál 2" xfId="2"/>
    <cellStyle name="Normál 2 2" xfId="48"/>
    <cellStyle name="Normál 3" xfId="56"/>
    <cellStyle name="Normal_KTRSZJ" xfId="54"/>
    <cellStyle name="Összesen 2" xfId="49"/>
    <cellStyle name="Pénznem" xfId="53" builtinId="4"/>
    <cellStyle name="Rossz 2" xfId="50"/>
    <cellStyle name="Semleges 2" xfId="51"/>
    <cellStyle name="Számítás 2" xfId="52"/>
    <cellStyle name="Százalék" xfId="3" builtinId="5"/>
  </cellStyles>
  <dxfs count="2"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</dxfs>
  <tableStyles count="0" defaultTableStyle="TableStyleMedium2" defaultPivotStyle="PivotStyleLight16"/>
  <colors>
    <mruColors>
      <color rgb="FFFF5050"/>
      <color rgb="FF0099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idtn&#233;%20Nagy%20Ter&#233;zia/Documents/2019/2019_&#214;nkorm&#225;nyzat/2019_z&#225;rsz&#225;mad&#225;s/20180524_kik&#252;lcs&#246;tt%20z&#225;rsz&#225;mad&#225;s%20Jegyz&#337;nek/2017_z&#225;rsz&#225;mad&#225;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&#233;nzk&#233;szlethez/Z&#225;rsz&#225;mad&#225;s%2018.%20mell&#233;klet_P&#233;nzk&#233;szlet%20egyeztet&#337;_&#214;nk%20&#233;s%20int&#233;zm&#233;ny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adási segédtábla"/>
      <sheetName val="bevételi segédtábla"/>
      <sheetName val="egységenkénti segédtábla"/>
      <sheetName val="1. Sülysáp összesen"/>
      <sheetName val=" 2. Önk. Bevételek"/>
      <sheetName val="3. Önk. Kiadások"/>
      <sheetName val="4. Dr Gáspár HSZK"/>
      <sheetName val="5. Csicsergő"/>
      <sheetName val="6. Gólyahír"/>
      <sheetName val="7. Polg.Hiv."/>
      <sheetName val="8. WAMKK"/>
      <sheetName val="9. Közp. Konyha"/>
      <sheetName val="10.Tám. kieg és egyéb köt felh."/>
      <sheetName val="11. Tám. ált.,szoc, köznev."/>
      <sheetName val="12. Mérleg"/>
      <sheetName val="13. Konszolidált mérleg"/>
      <sheetName val="14. Eszközváltozás kimutatás"/>
      <sheetName val="15. Vagyonkimutatás"/>
      <sheetName val="16. Eredménykimutatás"/>
      <sheetName val="17. Konszolidált eredménykim."/>
      <sheetName val="18. Maradványkimutatás Önk. "/>
      <sheetName val="19. Kölcsön-és hitelállomány"/>
      <sheetName val="20. Adósságállomány"/>
      <sheetName val="21. Pénzeszközök változása"/>
      <sheetName val="22. Működési mérleg"/>
      <sheetName val="23. Felhalmozási mérleg"/>
      <sheetName val="24. Beruházások és felújítások"/>
      <sheetName val="25. Közvetett támogatáso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3">
          <cell r="B23">
            <v>167125</v>
          </cell>
          <cell r="C23">
            <v>728265.071</v>
          </cell>
          <cell r="F23">
            <v>284093</v>
          </cell>
          <cell r="G23">
            <v>828936.31599999999</v>
          </cell>
        </row>
      </sheetData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en"/>
      <sheetName val="Önkormányzat"/>
      <sheetName val="Bölcsőde"/>
      <sheetName val="Óvoda"/>
      <sheetName val="Dr.Gáspár"/>
      <sheetName val="Konyha"/>
      <sheetName val="Wamkk"/>
      <sheetName val="PH"/>
    </sheetNames>
    <sheetDataSet>
      <sheetData sheetId="0"/>
      <sheetData sheetId="1">
        <row r="8">
          <cell r="B8">
            <v>499451556</v>
          </cell>
          <cell r="C8">
            <v>425409103</v>
          </cell>
          <cell r="D8">
            <v>534515433</v>
          </cell>
          <cell r="E8">
            <v>552988275</v>
          </cell>
          <cell r="F8">
            <v>499451556</v>
          </cell>
        </row>
        <row r="11">
          <cell r="B11">
            <v>293078379</v>
          </cell>
          <cell r="C11">
            <v>413695124</v>
          </cell>
          <cell r="D11">
            <v>263442087</v>
          </cell>
          <cell r="E11">
            <v>227739863</v>
          </cell>
          <cell r="F11">
            <v>1197955453</v>
          </cell>
        </row>
        <row r="14">
          <cell r="B14">
            <v>367053002</v>
          </cell>
          <cell r="C14">
            <v>305066518</v>
          </cell>
          <cell r="D14">
            <v>246113465</v>
          </cell>
          <cell r="E14">
            <v>313040513</v>
          </cell>
          <cell r="F14">
            <v>1231273498</v>
          </cell>
        </row>
        <row r="17">
          <cell r="B17">
            <v>-67830</v>
          </cell>
          <cell r="C17">
            <v>477724</v>
          </cell>
          <cell r="D17">
            <v>1144220</v>
          </cell>
          <cell r="E17">
            <v>15570920</v>
          </cell>
          <cell r="F17">
            <v>17125034</v>
          </cell>
        </row>
      </sheetData>
      <sheetData sheetId="2">
        <row r="8">
          <cell r="B8">
            <v>764139</v>
          </cell>
          <cell r="C8">
            <v>3642819</v>
          </cell>
          <cell r="D8">
            <v>-9363840</v>
          </cell>
          <cell r="E8">
            <v>1418605</v>
          </cell>
          <cell r="F8">
            <v>764139</v>
          </cell>
        </row>
        <row r="11">
          <cell r="B11">
            <v>15745003</v>
          </cell>
          <cell r="C11">
            <v>12123248</v>
          </cell>
          <cell r="D11">
            <v>13336216</v>
          </cell>
          <cell r="E11">
            <v>15744217</v>
          </cell>
          <cell r="F11">
            <v>56948684</v>
          </cell>
        </row>
        <row r="14">
          <cell r="B14">
            <v>12305127</v>
          </cell>
          <cell r="C14">
            <v>25835879</v>
          </cell>
          <cell r="D14">
            <v>2218598</v>
          </cell>
          <cell r="E14">
            <v>16328361</v>
          </cell>
          <cell r="F14">
            <v>56687965</v>
          </cell>
        </row>
        <row r="17">
          <cell r="B17">
            <v>-561196</v>
          </cell>
          <cell r="C17">
            <v>705972</v>
          </cell>
          <cell r="D17">
            <v>-335173</v>
          </cell>
          <cell r="E17">
            <v>-9350</v>
          </cell>
          <cell r="F17">
            <v>-199747</v>
          </cell>
        </row>
      </sheetData>
      <sheetData sheetId="3">
        <row r="8">
          <cell r="B8">
            <v>575242</v>
          </cell>
          <cell r="C8">
            <v>3490147</v>
          </cell>
          <cell r="D8">
            <v>3080704</v>
          </cell>
          <cell r="E8">
            <v>664865</v>
          </cell>
          <cell r="F8">
            <v>575242</v>
          </cell>
        </row>
        <row r="11">
          <cell r="B11">
            <v>47910384</v>
          </cell>
          <cell r="C11">
            <v>46385340</v>
          </cell>
          <cell r="D11">
            <v>46382772</v>
          </cell>
          <cell r="E11">
            <v>50120984</v>
          </cell>
          <cell r="F11">
            <v>190799480</v>
          </cell>
        </row>
        <row r="14">
          <cell r="B14">
            <v>42182390</v>
          </cell>
          <cell r="C14">
            <v>49377365</v>
          </cell>
          <cell r="D14">
            <v>46867246</v>
          </cell>
          <cell r="E14">
            <v>51312012</v>
          </cell>
          <cell r="F14">
            <v>189739013</v>
          </cell>
        </row>
        <row r="17">
          <cell r="B17">
            <v>-2813089</v>
          </cell>
          <cell r="C17">
            <v>2582582</v>
          </cell>
          <cell r="D17">
            <v>-1931365</v>
          </cell>
          <cell r="E17">
            <v>1945523</v>
          </cell>
          <cell r="F17">
            <v>-216349</v>
          </cell>
        </row>
      </sheetData>
      <sheetData sheetId="4">
        <row r="8">
          <cell r="B8">
            <v>1572704</v>
          </cell>
          <cell r="C8">
            <v>1065858</v>
          </cell>
          <cell r="D8">
            <v>2631295</v>
          </cell>
          <cell r="E8">
            <v>2705750</v>
          </cell>
          <cell r="F8">
            <v>1572704</v>
          </cell>
        </row>
        <row r="11">
          <cell r="B11">
            <v>9129108</v>
          </cell>
          <cell r="C11">
            <v>10487468</v>
          </cell>
          <cell r="D11">
            <v>8164815</v>
          </cell>
          <cell r="E11">
            <v>7893928</v>
          </cell>
          <cell r="F11">
            <v>35675319</v>
          </cell>
        </row>
        <row r="14">
          <cell r="B14">
            <v>9358939</v>
          </cell>
          <cell r="C14">
            <v>9154855</v>
          </cell>
          <cell r="D14">
            <v>8125211</v>
          </cell>
          <cell r="E14">
            <v>9259266</v>
          </cell>
          <cell r="F14">
            <v>35898271</v>
          </cell>
        </row>
        <row r="17">
          <cell r="B17">
            <v>-277015</v>
          </cell>
          <cell r="C17">
            <v>232824</v>
          </cell>
          <cell r="D17">
            <v>34851</v>
          </cell>
          <cell r="E17">
            <v>9340</v>
          </cell>
          <cell r="F17">
            <v>0</v>
          </cell>
        </row>
      </sheetData>
      <sheetData sheetId="5">
        <row r="8">
          <cell r="B8">
            <v>2500026</v>
          </cell>
          <cell r="C8">
            <v>941472</v>
          </cell>
          <cell r="D8">
            <v>305254</v>
          </cell>
          <cell r="E8">
            <v>4367331</v>
          </cell>
          <cell r="F8">
            <v>2500026</v>
          </cell>
        </row>
        <row r="11">
          <cell r="B11">
            <v>23388471</v>
          </cell>
          <cell r="C11">
            <v>31684659</v>
          </cell>
          <cell r="D11">
            <v>20390614</v>
          </cell>
          <cell r="E11">
            <v>25380782</v>
          </cell>
          <cell r="F11">
            <v>100844526</v>
          </cell>
        </row>
        <row r="14">
          <cell r="B14">
            <v>24309453</v>
          </cell>
          <cell r="C14">
            <v>32611618</v>
          </cell>
          <cell r="D14">
            <v>16419110</v>
          </cell>
          <cell r="E14">
            <v>28244090</v>
          </cell>
          <cell r="F14">
            <v>101584271</v>
          </cell>
        </row>
        <row r="17">
          <cell r="B17">
            <v>-637572</v>
          </cell>
          <cell r="C17">
            <v>290741</v>
          </cell>
          <cell r="D17">
            <v>90573</v>
          </cell>
          <cell r="E17">
            <v>278182</v>
          </cell>
          <cell r="F17">
            <v>21924</v>
          </cell>
        </row>
      </sheetData>
      <sheetData sheetId="6">
        <row r="8">
          <cell r="B8">
            <v>431919</v>
          </cell>
          <cell r="C8">
            <v>3539062</v>
          </cell>
          <cell r="D8">
            <v>787727</v>
          </cell>
          <cell r="E8">
            <v>1558368</v>
          </cell>
          <cell r="F8">
            <v>431919</v>
          </cell>
        </row>
        <row r="11">
          <cell r="B11">
            <v>9056219</v>
          </cell>
          <cell r="C11">
            <v>5605198</v>
          </cell>
          <cell r="D11">
            <v>8485989</v>
          </cell>
          <cell r="E11">
            <v>5728153</v>
          </cell>
          <cell r="F11">
            <v>28875559</v>
          </cell>
        </row>
        <row r="14">
          <cell r="B14">
            <v>5585743</v>
          </cell>
          <cell r="C14">
            <v>8819866</v>
          </cell>
          <cell r="D14">
            <v>7525348</v>
          </cell>
          <cell r="E14">
            <v>6753796</v>
          </cell>
          <cell r="F14">
            <v>28684753</v>
          </cell>
        </row>
        <row r="17">
          <cell r="B17">
            <v>-363333</v>
          </cell>
          <cell r="C17">
            <v>463333</v>
          </cell>
          <cell r="D17">
            <v>-190000</v>
          </cell>
          <cell r="E17">
            <v>50000</v>
          </cell>
          <cell r="F17">
            <v>-40000</v>
          </cell>
        </row>
      </sheetData>
      <sheetData sheetId="7">
        <row r="8">
          <cell r="B8">
            <v>570554</v>
          </cell>
          <cell r="C8">
            <v>4263809</v>
          </cell>
          <cell r="D8">
            <v>2569904</v>
          </cell>
          <cell r="E8">
            <v>3092583</v>
          </cell>
          <cell r="F8">
            <v>570554</v>
          </cell>
        </row>
        <row r="11">
          <cell r="B11">
            <v>31943158</v>
          </cell>
          <cell r="C11">
            <v>32158275</v>
          </cell>
          <cell r="D11">
            <v>30519594</v>
          </cell>
          <cell r="E11">
            <v>30766566</v>
          </cell>
          <cell r="F11">
            <v>125387593</v>
          </cell>
        </row>
        <row r="14">
          <cell r="B14">
            <v>26565454</v>
          </cell>
          <cell r="C14">
            <v>34857435</v>
          </cell>
          <cell r="D14">
            <v>30512544</v>
          </cell>
          <cell r="E14">
            <v>32901387</v>
          </cell>
          <cell r="F14">
            <v>124836820</v>
          </cell>
        </row>
        <row r="17">
          <cell r="B17">
            <v>-1684449</v>
          </cell>
          <cell r="C17">
            <v>1005255</v>
          </cell>
          <cell r="D17">
            <v>515629</v>
          </cell>
          <cell r="E17">
            <v>-571473</v>
          </cell>
          <cell r="F17">
            <v>-735038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0"/>
  <sheetViews>
    <sheetView view="pageBreakPreview" zoomScale="75" zoomScaleNormal="75" zoomScaleSheetLayoutView="75" workbookViewId="0">
      <selection activeCell="T12" sqref="T12"/>
    </sheetView>
  </sheetViews>
  <sheetFormatPr defaultRowHeight="13.2" x14ac:dyDescent="0.25"/>
  <cols>
    <col min="1" max="1" width="6.44140625" style="15" bestFit="1" customWidth="1"/>
    <col min="2" max="2" width="41.44140625" style="15" customWidth="1"/>
    <col min="3" max="3" width="15.5546875" style="15" customWidth="1"/>
    <col min="4" max="6" width="15.5546875" style="16" customWidth="1"/>
    <col min="7" max="7" width="0.6640625" style="16" customWidth="1"/>
    <col min="8" max="8" width="15.5546875" style="15" customWidth="1"/>
    <col min="9" max="10" width="15.5546875" style="16" customWidth="1"/>
    <col min="11" max="11" width="0.6640625" style="16" customWidth="1"/>
    <col min="12" max="14" width="10.5546875" style="15" customWidth="1"/>
    <col min="15" max="15" width="0.6640625" style="16" customWidth="1"/>
    <col min="16" max="18" width="14.5546875" style="15" customWidth="1"/>
    <col min="19" max="19" width="15.5546875" style="15" customWidth="1"/>
    <col min="20" max="20" width="10.5546875" style="15" customWidth="1"/>
    <col min="21" max="21" width="0.6640625" style="16" customWidth="1"/>
    <col min="22" max="22" width="4.6640625" customWidth="1"/>
  </cols>
  <sheetData>
    <row r="1" spans="1:27" ht="24.6" x14ac:dyDescent="0.4">
      <c r="A1" s="83" t="s">
        <v>452</v>
      </c>
      <c r="B1" s="489"/>
      <c r="C1" s="489"/>
      <c r="D1" s="489"/>
      <c r="E1" s="489"/>
      <c r="F1" s="728"/>
      <c r="G1" s="490"/>
      <c r="H1" s="491"/>
      <c r="I1" s="491"/>
      <c r="J1" s="492" t="str">
        <f>+'1. Sülysáp összesen'!J1</f>
        <v>2018. ÉV KÖLTSÉGVETÉS</v>
      </c>
      <c r="K1" s="83"/>
      <c r="L1" s="83"/>
      <c r="M1" s="491"/>
      <c r="N1" s="491"/>
      <c r="O1" s="491"/>
      <c r="P1" s="491"/>
      <c r="Q1" s="491"/>
      <c r="R1" s="491"/>
      <c r="S1" s="491"/>
      <c r="T1" s="491"/>
      <c r="U1" s="491"/>
      <c r="V1" s="544"/>
      <c r="W1" s="491"/>
      <c r="X1" s="80"/>
      <c r="Y1" s="28"/>
      <c r="Z1" s="28"/>
      <c r="AA1" s="28"/>
    </row>
    <row r="2" spans="1:27" ht="21" hidden="1" x14ac:dyDescent="0.25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1"/>
      <c r="V2" s="687"/>
      <c r="W2" s="494"/>
    </row>
    <row r="3" spans="1:27" ht="21" hidden="1" x14ac:dyDescent="0.25">
      <c r="A3" s="497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1"/>
      <c r="V3" s="687"/>
      <c r="W3" s="494"/>
    </row>
    <row r="4" spans="1:27" x14ac:dyDescent="0.25">
      <c r="A4" s="497"/>
      <c r="B4" s="497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7"/>
      <c r="U4" s="494"/>
      <c r="V4" s="687"/>
      <c r="W4" s="494"/>
    </row>
    <row r="5" spans="1:27" ht="14.1" hidden="1" customHeight="1" x14ac:dyDescent="0.25">
      <c r="A5" s="497"/>
      <c r="B5" s="497"/>
      <c r="C5" s="729"/>
      <c r="D5" s="729"/>
      <c r="E5" s="729"/>
      <c r="F5" s="729"/>
      <c r="G5" s="729"/>
      <c r="H5" s="730"/>
      <c r="I5" s="730"/>
      <c r="J5" s="730"/>
      <c r="K5" s="729"/>
      <c r="L5" s="731"/>
      <c r="M5" s="732"/>
      <c r="N5" s="732"/>
      <c r="O5" s="729"/>
      <c r="P5" s="730"/>
      <c r="Q5" s="730"/>
      <c r="R5" s="730"/>
      <c r="S5" s="730"/>
      <c r="T5" s="732"/>
      <c r="U5" s="496"/>
      <c r="V5" s="687"/>
      <c r="W5" s="494"/>
    </row>
    <row r="6" spans="1:27" ht="14.1" hidden="1" customHeight="1" x14ac:dyDescent="0.25">
      <c r="A6" s="497"/>
      <c r="B6" s="497"/>
      <c r="C6" s="729"/>
      <c r="D6" s="729"/>
      <c r="E6" s="729"/>
      <c r="F6" s="729"/>
      <c r="G6" s="729"/>
      <c r="H6" s="730"/>
      <c r="I6" s="730"/>
      <c r="J6" s="730"/>
      <c r="K6" s="729"/>
      <c r="L6" s="731"/>
      <c r="M6" s="732"/>
      <c r="N6" s="732"/>
      <c r="O6" s="729"/>
      <c r="P6" s="730"/>
      <c r="Q6" s="730"/>
      <c r="R6" s="730"/>
      <c r="S6" s="730"/>
      <c r="T6" s="732"/>
      <c r="U6" s="496"/>
      <c r="V6" s="687"/>
      <c r="W6" s="494"/>
    </row>
    <row r="7" spans="1:27" ht="15.6" x14ac:dyDescent="0.25">
      <c r="A7" s="497"/>
      <c r="B7" s="497"/>
      <c r="C7" s="1070" t="s">
        <v>415</v>
      </c>
      <c r="D7" s="1071"/>
      <c r="E7" s="1071"/>
      <c r="F7" s="1072"/>
      <c r="G7" s="733"/>
      <c r="H7" s="1070" t="s">
        <v>414</v>
      </c>
      <c r="I7" s="1073"/>
      <c r="J7" s="1073"/>
      <c r="K7" s="1073"/>
      <c r="L7" s="1073"/>
      <c r="M7" s="1073"/>
      <c r="N7" s="1074"/>
      <c r="O7" s="733"/>
      <c r="P7" s="1070" t="s">
        <v>411</v>
      </c>
      <c r="Q7" s="1071"/>
      <c r="R7" s="1071"/>
      <c r="S7" s="1071"/>
      <c r="T7" s="1072"/>
      <c r="U7" s="494"/>
      <c r="V7" s="687"/>
      <c r="W7" s="494"/>
    </row>
    <row r="8" spans="1:27" ht="13.8" x14ac:dyDescent="0.25">
      <c r="A8" s="497"/>
      <c r="B8" s="497"/>
      <c r="C8" s="734"/>
      <c r="D8" s="735"/>
      <c r="E8" s="735"/>
      <c r="F8" s="736"/>
      <c r="G8" s="729"/>
      <c r="H8" s="1075" t="s">
        <v>424</v>
      </c>
      <c r="I8" s="1076"/>
      <c r="J8" s="1076"/>
      <c r="K8" s="495"/>
      <c r="L8" s="1077" t="s">
        <v>423</v>
      </c>
      <c r="M8" s="1076"/>
      <c r="N8" s="1078"/>
      <c r="O8" s="729"/>
      <c r="P8" s="737">
        <f>+'1. Sülysáp összesen'!P8</f>
        <v>1</v>
      </c>
      <c r="Q8" s="738">
        <f>+' 2. Önk. Bevételek'!Q8</f>
        <v>1</v>
      </c>
      <c r="R8" s="738">
        <f>+'1. Sülysáp összesen'!R8</f>
        <v>1</v>
      </c>
      <c r="S8" s="735"/>
      <c r="T8" s="736"/>
      <c r="U8" s="494"/>
      <c r="V8" s="687" t="str">
        <f>+'1. Sülysáp összesen'!V5</f>
        <v>F-oszlop</v>
      </c>
      <c r="W8" s="494"/>
    </row>
    <row r="9" spans="1:27" ht="20.100000000000001" customHeight="1" x14ac:dyDescent="0.25">
      <c r="A9" s="739"/>
      <c r="B9" s="135" t="s">
        <v>380</v>
      </c>
      <c r="C9" s="158">
        <f>+C23</f>
        <v>1755110245.25</v>
      </c>
      <c r="D9" s="136">
        <f t="shared" ref="D9:J9" si="0">+D23</f>
        <v>1756051845</v>
      </c>
      <c r="E9" s="136">
        <f t="shared" si="0"/>
        <v>1806051845</v>
      </c>
      <c r="F9" s="162">
        <f t="shared" si="0"/>
        <v>1802755197</v>
      </c>
      <c r="G9" s="136"/>
      <c r="H9" s="158">
        <f t="shared" si="0"/>
        <v>687383223</v>
      </c>
      <c r="I9" s="136">
        <f t="shared" si="0"/>
        <v>937070636</v>
      </c>
      <c r="J9" s="136">
        <f t="shared" si="0"/>
        <v>1271085822</v>
      </c>
      <c r="K9" s="137"/>
      <c r="L9" s="138">
        <f>H9/C9</f>
        <v>0.39164674974710112</v>
      </c>
      <c r="M9" s="139">
        <f>I9/D9</f>
        <v>0.53362355938870354</v>
      </c>
      <c r="N9" s="159">
        <f>+J9/E9</f>
        <v>0.70379254367418231</v>
      </c>
      <c r="O9" s="137"/>
      <c r="P9" s="158">
        <f>IF(D9&gt;0,+D9-C9,0)</f>
        <v>941599.75</v>
      </c>
      <c r="Q9" s="136">
        <f>IF(E9&gt;0,+E9-D9,0)</f>
        <v>50000000</v>
      </c>
      <c r="R9" s="136">
        <f>IF(F9&gt;0,+F9-E9,0)</f>
        <v>-3296648</v>
      </c>
      <c r="S9" s="136">
        <f>SUM(P9:R9)</f>
        <v>47644951.75</v>
      </c>
      <c r="T9" s="159">
        <f>+S9/C9</f>
        <v>2.7146415377008636E-2</v>
      </c>
      <c r="U9" s="97"/>
      <c r="V9" s="688">
        <f>+S9-F9+C9</f>
        <v>0</v>
      </c>
      <c r="W9" s="494"/>
    </row>
    <row r="10" spans="1:27" ht="13.8" x14ac:dyDescent="0.25">
      <c r="A10" s="740"/>
      <c r="B10" s="741"/>
      <c r="C10" s="742"/>
      <c r="D10" s="729"/>
      <c r="E10" s="729"/>
      <c r="F10" s="743"/>
      <c r="G10" s="729"/>
      <c r="H10" s="742"/>
      <c r="I10" s="729"/>
      <c r="J10" s="729"/>
      <c r="K10" s="729"/>
      <c r="L10" s="744"/>
      <c r="M10" s="745"/>
      <c r="N10" s="746"/>
      <c r="O10" s="729"/>
      <c r="P10" s="742"/>
      <c r="Q10" s="729"/>
      <c r="R10" s="729"/>
      <c r="S10" s="729"/>
      <c r="T10" s="746"/>
      <c r="U10" s="630"/>
      <c r="V10" s="747"/>
      <c r="W10" s="494"/>
    </row>
    <row r="11" spans="1:27" s="1" customFormat="1" ht="64.5" customHeight="1" x14ac:dyDescent="0.25">
      <c r="A11" s="140" t="s">
        <v>375</v>
      </c>
      <c r="B11" s="140" t="s">
        <v>373</v>
      </c>
      <c r="C11" s="163" t="s">
        <v>484</v>
      </c>
      <c r="D11" s="141" t="s">
        <v>485</v>
      </c>
      <c r="E11" s="141" t="s">
        <v>486</v>
      </c>
      <c r="F11" s="164" t="s">
        <v>487</v>
      </c>
      <c r="G11" s="141"/>
      <c r="H11" s="160" t="s">
        <v>497</v>
      </c>
      <c r="I11" s="142" t="s">
        <v>498</v>
      </c>
      <c r="J11" s="142" t="s">
        <v>499</v>
      </c>
      <c r="K11" s="141"/>
      <c r="L11" s="143" t="s">
        <v>500</v>
      </c>
      <c r="M11" s="143" t="s">
        <v>502</v>
      </c>
      <c r="N11" s="161" t="s">
        <v>501</v>
      </c>
      <c r="O11" s="141"/>
      <c r="P11" s="160" t="s">
        <v>494</v>
      </c>
      <c r="Q11" s="142" t="s">
        <v>495</v>
      </c>
      <c r="R11" s="142" t="s">
        <v>496</v>
      </c>
      <c r="S11" s="142" t="s">
        <v>412</v>
      </c>
      <c r="T11" s="161" t="s">
        <v>413</v>
      </c>
      <c r="U11" s="134"/>
      <c r="V11" s="52" t="s">
        <v>417</v>
      </c>
      <c r="W11" s="631"/>
    </row>
    <row r="12" spans="1:27" x14ac:dyDescent="0.25">
      <c r="A12" s="748"/>
      <c r="B12" s="749"/>
      <c r="C12" s="750"/>
      <c r="D12" s="751"/>
      <c r="E12" s="751"/>
      <c r="F12" s="752"/>
      <c r="G12" s="751"/>
      <c r="H12" s="753"/>
      <c r="I12" s="728"/>
      <c r="J12" s="728"/>
      <c r="K12" s="751"/>
      <c r="L12" s="744"/>
      <c r="M12" s="754"/>
      <c r="N12" s="755"/>
      <c r="O12" s="751"/>
      <c r="P12" s="753"/>
      <c r="Q12" s="728"/>
      <c r="R12" s="728"/>
      <c r="S12" s="728"/>
      <c r="T12" s="756"/>
      <c r="U12" s="757"/>
      <c r="V12" s="690"/>
      <c r="W12" s="494"/>
    </row>
    <row r="13" spans="1:27" x14ac:dyDescent="0.25">
      <c r="A13" s="500" t="s">
        <v>0</v>
      </c>
      <c r="B13" s="758" t="s">
        <v>3</v>
      </c>
      <c r="C13" s="701">
        <f>+C37</f>
        <v>430813412</v>
      </c>
      <c r="D13" s="701">
        <f t="shared" ref="D13:E13" si="1">+D37</f>
        <v>431755012</v>
      </c>
      <c r="E13" s="701">
        <f t="shared" si="1"/>
        <v>432441212</v>
      </c>
      <c r="F13" s="701">
        <f t="shared" ref="F13:J13" si="2">+F37</f>
        <v>428361201</v>
      </c>
      <c r="G13" s="759"/>
      <c r="H13" s="701">
        <f t="shared" si="2"/>
        <v>206850184</v>
      </c>
      <c r="I13" s="701">
        <f t="shared" si="2"/>
        <v>314393136</v>
      </c>
      <c r="J13" s="701">
        <f t="shared" si="2"/>
        <v>424066140</v>
      </c>
      <c r="K13" s="701"/>
      <c r="L13" s="702">
        <f t="shared" ref="L13:L23" si="3">IF(D13=0,0,H13/D13)</f>
        <v>0.47909156408356879</v>
      </c>
      <c r="M13" s="702">
        <f t="shared" ref="M13:M23" si="4">IF(E13=0,0,I13/E13)</f>
        <v>0.72701936650755661</v>
      </c>
      <c r="N13" s="702">
        <f t="shared" ref="N13:N23" si="5">IF(F13=0,0,J13/F13)</f>
        <v>0.98997327257937162</v>
      </c>
      <c r="O13" s="759"/>
      <c r="P13" s="587">
        <f t="shared" ref="P13:R21" si="6">+(D13-C13)*P$8</f>
        <v>941600</v>
      </c>
      <c r="Q13" s="587">
        <f t="shared" si="6"/>
        <v>686200</v>
      </c>
      <c r="R13" s="587">
        <f t="shared" si="6"/>
        <v>-4080011</v>
      </c>
      <c r="S13" s="587">
        <f t="shared" ref="S13:S21" si="7">SUM(P13:R13)</f>
        <v>-2452211</v>
      </c>
      <c r="T13" s="760">
        <f t="shared" ref="T13:T24" si="8">IF(C13=0,0,+S13/C13)</f>
        <v>-5.6920488817093747E-3</v>
      </c>
      <c r="U13" s="761"/>
      <c r="V13" s="747">
        <f>+S13-F13+C13</f>
        <v>0</v>
      </c>
      <c r="W13" s="494"/>
    </row>
    <row r="14" spans="1:27" ht="15" customHeight="1" x14ac:dyDescent="0.25">
      <c r="A14" s="500" t="s">
        <v>27</v>
      </c>
      <c r="B14" s="758" t="s">
        <v>457</v>
      </c>
      <c r="C14" s="701">
        <f>+C49</f>
        <v>81571891.25</v>
      </c>
      <c r="D14" s="701">
        <f t="shared" ref="D14:E14" si="9">+D49</f>
        <v>81571891</v>
      </c>
      <c r="E14" s="701">
        <f t="shared" si="9"/>
        <v>81571891</v>
      </c>
      <c r="F14" s="701">
        <f t="shared" ref="F14:J14" si="10">+F49</f>
        <v>83609815</v>
      </c>
      <c r="G14" s="759"/>
      <c r="H14" s="701">
        <f t="shared" si="10"/>
        <v>43217131</v>
      </c>
      <c r="I14" s="701">
        <f t="shared" si="10"/>
        <v>64322116</v>
      </c>
      <c r="J14" s="701">
        <f t="shared" si="10"/>
        <v>83597204</v>
      </c>
      <c r="K14" s="701"/>
      <c r="L14" s="702">
        <f t="shared" si="3"/>
        <v>0.52980420669664263</v>
      </c>
      <c r="M14" s="702">
        <f t="shared" si="4"/>
        <v>0.78853285379886562</v>
      </c>
      <c r="N14" s="702">
        <f t="shared" si="5"/>
        <v>0.99984916842597971</v>
      </c>
      <c r="O14" s="759"/>
      <c r="P14" s="587">
        <f t="shared" si="6"/>
        <v>-0.25</v>
      </c>
      <c r="Q14" s="587">
        <f t="shared" si="6"/>
        <v>0</v>
      </c>
      <c r="R14" s="587">
        <f t="shared" si="6"/>
        <v>2037924</v>
      </c>
      <c r="S14" s="587">
        <f t="shared" si="7"/>
        <v>2037923.75</v>
      </c>
      <c r="T14" s="760">
        <f t="shared" si="8"/>
        <v>2.4983161708905455E-2</v>
      </c>
      <c r="U14" s="761"/>
      <c r="V14" s="747">
        <f t="shared" ref="V14:V24" si="11">+S14-F14+C14</f>
        <v>0</v>
      </c>
      <c r="W14" s="494"/>
    </row>
    <row r="15" spans="1:27" x14ac:dyDescent="0.25">
      <c r="A15" s="500" t="s">
        <v>30</v>
      </c>
      <c r="B15" s="758" t="s">
        <v>31</v>
      </c>
      <c r="C15" s="701">
        <f>+C61</f>
        <v>303538000</v>
      </c>
      <c r="D15" s="762">
        <f t="shared" ref="D15:E15" si="12">+D61</f>
        <v>365429951</v>
      </c>
      <c r="E15" s="701">
        <f t="shared" si="12"/>
        <v>414910949</v>
      </c>
      <c r="F15" s="701">
        <f t="shared" ref="F15:J15" si="13">+F61</f>
        <v>358446305</v>
      </c>
      <c r="G15" s="759"/>
      <c r="H15" s="762">
        <f t="shared" si="13"/>
        <v>173860597</v>
      </c>
      <c r="I15" s="762">
        <f t="shared" si="13"/>
        <v>270398198</v>
      </c>
      <c r="J15" s="701">
        <f t="shared" si="13"/>
        <v>346064115</v>
      </c>
      <c r="K15" s="701"/>
      <c r="L15" s="702">
        <f t="shared" si="3"/>
        <v>0.47576997048060793</v>
      </c>
      <c r="M15" s="702">
        <f t="shared" si="4"/>
        <v>0.6517017655275229</v>
      </c>
      <c r="N15" s="702">
        <f t="shared" si="5"/>
        <v>0.96545594185996697</v>
      </c>
      <c r="O15" s="759"/>
      <c r="P15" s="587">
        <f t="shared" si="6"/>
        <v>61891951</v>
      </c>
      <c r="Q15" s="587">
        <f t="shared" si="6"/>
        <v>49480998</v>
      </c>
      <c r="R15" s="587">
        <f t="shared" si="6"/>
        <v>-56464644</v>
      </c>
      <c r="S15" s="587">
        <f t="shared" si="7"/>
        <v>54908305</v>
      </c>
      <c r="T15" s="760">
        <f t="shared" si="8"/>
        <v>0.18089433612924904</v>
      </c>
      <c r="U15" s="761"/>
      <c r="V15" s="747">
        <f t="shared" si="11"/>
        <v>0</v>
      </c>
      <c r="W15" s="494"/>
    </row>
    <row r="16" spans="1:27" x14ac:dyDescent="0.25">
      <c r="A16" s="500" t="s">
        <v>112</v>
      </c>
      <c r="B16" s="758" t="s">
        <v>113</v>
      </c>
      <c r="C16" s="701">
        <f>+C73</f>
        <v>22100000</v>
      </c>
      <c r="D16" s="701">
        <f t="shared" ref="D16:E16" si="14">+D73</f>
        <v>23100000</v>
      </c>
      <c r="E16" s="701">
        <f t="shared" si="14"/>
        <v>24100000</v>
      </c>
      <c r="F16" s="701">
        <f t="shared" ref="F16:J16" si="15">+F73</f>
        <v>23324501</v>
      </c>
      <c r="G16" s="759"/>
      <c r="H16" s="701">
        <f t="shared" si="15"/>
        <v>12463530</v>
      </c>
      <c r="I16" s="701">
        <f t="shared" si="15"/>
        <v>17751990</v>
      </c>
      <c r="J16" s="701">
        <f t="shared" si="15"/>
        <v>22054410</v>
      </c>
      <c r="K16" s="701"/>
      <c r="L16" s="702">
        <f t="shared" si="3"/>
        <v>0.53954675324675327</v>
      </c>
      <c r="M16" s="702">
        <f t="shared" si="4"/>
        <v>0.73659709543568463</v>
      </c>
      <c r="N16" s="702">
        <f t="shared" si="5"/>
        <v>0.94554691652353029</v>
      </c>
      <c r="O16" s="759"/>
      <c r="P16" s="587">
        <f t="shared" si="6"/>
        <v>1000000</v>
      </c>
      <c r="Q16" s="587">
        <f t="shared" si="6"/>
        <v>1000000</v>
      </c>
      <c r="R16" s="587">
        <f t="shared" si="6"/>
        <v>-775499</v>
      </c>
      <c r="S16" s="587">
        <f t="shared" si="7"/>
        <v>1224501</v>
      </c>
      <c r="T16" s="760">
        <f t="shared" si="8"/>
        <v>5.5407285067873305E-2</v>
      </c>
      <c r="U16" s="761"/>
      <c r="V16" s="747">
        <f t="shared" si="11"/>
        <v>0</v>
      </c>
      <c r="W16" s="494"/>
    </row>
    <row r="17" spans="1:23" x14ac:dyDescent="0.25">
      <c r="A17" s="500" t="s">
        <v>378</v>
      </c>
      <c r="B17" s="758" t="s">
        <v>142</v>
      </c>
      <c r="C17" s="701">
        <f>+C85</f>
        <v>126531257</v>
      </c>
      <c r="D17" s="701">
        <f t="shared" ref="D17:E17" si="16">+D85</f>
        <v>127250158</v>
      </c>
      <c r="E17" s="701">
        <f t="shared" si="16"/>
        <v>127700158</v>
      </c>
      <c r="F17" s="701">
        <f t="shared" ref="F17:J17" si="17">+F85</f>
        <v>145312407</v>
      </c>
      <c r="G17" s="759"/>
      <c r="H17" s="701">
        <f t="shared" si="17"/>
        <v>87541344</v>
      </c>
      <c r="I17" s="701">
        <f t="shared" si="17"/>
        <v>99005461</v>
      </c>
      <c r="J17" s="701">
        <f t="shared" si="17"/>
        <v>130328150</v>
      </c>
      <c r="K17" s="701"/>
      <c r="L17" s="702">
        <f t="shared" si="3"/>
        <v>0.68794683932730361</v>
      </c>
      <c r="M17" s="702">
        <f t="shared" si="4"/>
        <v>0.77529630777747349</v>
      </c>
      <c r="N17" s="702">
        <f t="shared" si="5"/>
        <v>0.89688246647789682</v>
      </c>
      <c r="O17" s="759"/>
      <c r="P17" s="587">
        <f t="shared" si="6"/>
        <v>718901</v>
      </c>
      <c r="Q17" s="587">
        <f t="shared" si="6"/>
        <v>450000</v>
      </c>
      <c r="R17" s="587">
        <f t="shared" si="6"/>
        <v>17612249</v>
      </c>
      <c r="S17" s="587">
        <f t="shared" si="7"/>
        <v>18781150</v>
      </c>
      <c r="T17" s="760">
        <f t="shared" si="8"/>
        <v>0.14843091300357508</v>
      </c>
      <c r="U17" s="761"/>
      <c r="V17" s="747">
        <f t="shared" si="11"/>
        <v>0</v>
      </c>
      <c r="W17" s="494"/>
    </row>
    <row r="18" spans="1:23" x14ac:dyDescent="0.25">
      <c r="A18" s="500" t="s">
        <v>159</v>
      </c>
      <c r="B18" s="758" t="s">
        <v>160</v>
      </c>
      <c r="C18" s="701">
        <f>+C97</f>
        <v>702793057</v>
      </c>
      <c r="D18" s="701">
        <f t="shared" ref="D18:E18" si="18">+D97</f>
        <v>657881439</v>
      </c>
      <c r="E18" s="701">
        <f t="shared" si="18"/>
        <v>649264241</v>
      </c>
      <c r="F18" s="701">
        <f t="shared" ref="F18:J18" si="19">+F97</f>
        <v>667482343</v>
      </c>
      <c r="G18" s="759"/>
      <c r="H18" s="701">
        <f t="shared" si="19"/>
        <v>139955723</v>
      </c>
      <c r="I18" s="701">
        <f t="shared" si="19"/>
        <v>147066448</v>
      </c>
      <c r="J18" s="701">
        <f t="shared" si="19"/>
        <v>168757178</v>
      </c>
      <c r="K18" s="701"/>
      <c r="L18" s="702">
        <f t="shared" si="3"/>
        <v>0.21273699895339349</v>
      </c>
      <c r="M18" s="702">
        <f t="shared" si="4"/>
        <v>0.22651247167638175</v>
      </c>
      <c r="N18" s="702">
        <f t="shared" si="5"/>
        <v>0.25282643019667111</v>
      </c>
      <c r="O18" s="759"/>
      <c r="P18" s="587">
        <f t="shared" si="6"/>
        <v>-44911618</v>
      </c>
      <c r="Q18" s="587">
        <f t="shared" si="6"/>
        <v>-8617198</v>
      </c>
      <c r="R18" s="587">
        <f t="shared" si="6"/>
        <v>18218102</v>
      </c>
      <c r="S18" s="587">
        <f t="shared" si="7"/>
        <v>-35310714</v>
      </c>
      <c r="T18" s="760">
        <f t="shared" si="8"/>
        <v>-5.0243401878115025E-2</v>
      </c>
      <c r="U18" s="761"/>
      <c r="V18" s="747">
        <f t="shared" si="11"/>
        <v>0</v>
      </c>
      <c r="W18" s="494"/>
    </row>
    <row r="19" spans="1:23" x14ac:dyDescent="0.25">
      <c r="A19" s="500" t="s">
        <v>174</v>
      </c>
      <c r="B19" s="758" t="s">
        <v>175</v>
      </c>
      <c r="C19" s="701">
        <f>+C109</f>
        <v>69100000</v>
      </c>
      <c r="D19" s="701">
        <f t="shared" ref="D19:E19" si="20">+D109</f>
        <v>50100000</v>
      </c>
      <c r="E19" s="701">
        <f t="shared" si="20"/>
        <v>50100000</v>
      </c>
      <c r="F19" s="701">
        <f t="shared" ref="F19:J19" si="21">+F109</f>
        <v>77092908</v>
      </c>
      <c r="G19" s="759"/>
      <c r="H19" s="701">
        <f t="shared" si="21"/>
        <v>4531320</v>
      </c>
      <c r="I19" s="701">
        <f t="shared" si="21"/>
        <v>5007570</v>
      </c>
      <c r="J19" s="701">
        <f t="shared" si="21"/>
        <v>77092908</v>
      </c>
      <c r="K19" s="701"/>
      <c r="L19" s="702">
        <f t="shared" si="3"/>
        <v>9.0445508982035933E-2</v>
      </c>
      <c r="M19" s="702">
        <f t="shared" si="4"/>
        <v>9.995149700598803E-2</v>
      </c>
      <c r="N19" s="702">
        <f t="shared" si="5"/>
        <v>1</v>
      </c>
      <c r="O19" s="759"/>
      <c r="P19" s="587">
        <f t="shared" si="6"/>
        <v>-19000000</v>
      </c>
      <c r="Q19" s="587">
        <f t="shared" si="6"/>
        <v>0</v>
      </c>
      <c r="R19" s="587">
        <f t="shared" si="6"/>
        <v>26992908</v>
      </c>
      <c r="S19" s="587">
        <f t="shared" si="7"/>
        <v>7992908</v>
      </c>
      <c r="T19" s="760">
        <f t="shared" si="8"/>
        <v>0.11567160636758321</v>
      </c>
      <c r="U19" s="761"/>
      <c r="V19" s="747">
        <f t="shared" si="11"/>
        <v>0</v>
      </c>
      <c r="W19" s="494"/>
    </row>
    <row r="20" spans="1:23" x14ac:dyDescent="0.25">
      <c r="A20" s="500" t="s">
        <v>184</v>
      </c>
      <c r="B20" s="758" t="s">
        <v>185</v>
      </c>
      <c r="C20" s="701">
        <f>+C121</f>
        <v>0</v>
      </c>
      <c r="D20" s="701">
        <f t="shared" ref="D20:E20" si="22">+D121</f>
        <v>300766</v>
      </c>
      <c r="E20" s="701">
        <f t="shared" si="22"/>
        <v>7300766</v>
      </c>
      <c r="F20" s="701">
        <f t="shared" ref="F20:J20" si="23">+F121</f>
        <v>463089</v>
      </c>
      <c r="G20" s="759"/>
      <c r="H20" s="701">
        <f t="shared" si="23"/>
        <v>300766</v>
      </c>
      <c r="I20" s="701">
        <f t="shared" si="23"/>
        <v>463089</v>
      </c>
      <c r="J20" s="701">
        <f t="shared" si="23"/>
        <v>463089</v>
      </c>
      <c r="K20" s="701"/>
      <c r="L20" s="702">
        <f t="shared" si="3"/>
        <v>1</v>
      </c>
      <c r="M20" s="702">
        <f t="shared" si="4"/>
        <v>6.3430193489285913E-2</v>
      </c>
      <c r="N20" s="702">
        <f t="shared" si="5"/>
        <v>1</v>
      </c>
      <c r="O20" s="759"/>
      <c r="P20" s="587">
        <f t="shared" si="6"/>
        <v>300766</v>
      </c>
      <c r="Q20" s="587">
        <f t="shared" si="6"/>
        <v>7000000</v>
      </c>
      <c r="R20" s="587">
        <f t="shared" si="6"/>
        <v>-6837677</v>
      </c>
      <c r="S20" s="587">
        <f t="shared" si="7"/>
        <v>463089</v>
      </c>
      <c r="T20" s="760">
        <f t="shared" si="8"/>
        <v>0</v>
      </c>
      <c r="U20" s="761"/>
      <c r="V20" s="747">
        <f t="shared" si="11"/>
        <v>0</v>
      </c>
      <c r="W20" s="494"/>
    </row>
    <row r="21" spans="1:23" x14ac:dyDescent="0.25">
      <c r="A21" s="500" t="s">
        <v>202</v>
      </c>
      <c r="B21" s="758" t="s">
        <v>203</v>
      </c>
      <c r="C21" s="701">
        <f>+C133</f>
        <v>517816126.25</v>
      </c>
      <c r="D21" s="701">
        <f t="shared" ref="D21:E21" si="24">+D133</f>
        <v>523520226</v>
      </c>
      <c r="E21" s="701">
        <f t="shared" si="24"/>
        <v>523520226</v>
      </c>
      <c r="F21" s="701">
        <f t="shared" ref="F21:J21" si="25">+F133</f>
        <v>516281397</v>
      </c>
      <c r="G21" s="759"/>
      <c r="H21" s="701">
        <f t="shared" si="25"/>
        <v>271896006</v>
      </c>
      <c r="I21" s="701">
        <f t="shared" si="25"/>
        <v>392457140</v>
      </c>
      <c r="J21" s="701">
        <f t="shared" si="25"/>
        <v>516281397</v>
      </c>
      <c r="K21" s="701"/>
      <c r="L21" s="702">
        <f t="shared" si="3"/>
        <v>0.51936103420004254</v>
      </c>
      <c r="M21" s="702">
        <f t="shared" si="4"/>
        <v>0.74965038695563213</v>
      </c>
      <c r="N21" s="702">
        <f t="shared" si="5"/>
        <v>1</v>
      </c>
      <c r="O21" s="759"/>
      <c r="P21" s="587">
        <f t="shared" si="6"/>
        <v>5704099.75</v>
      </c>
      <c r="Q21" s="587">
        <f t="shared" si="6"/>
        <v>0</v>
      </c>
      <c r="R21" s="587">
        <f t="shared" si="6"/>
        <v>-7238829</v>
      </c>
      <c r="S21" s="587">
        <f t="shared" si="7"/>
        <v>-1534729.25</v>
      </c>
      <c r="T21" s="760">
        <f t="shared" si="8"/>
        <v>-2.9638498536429078E-3</v>
      </c>
      <c r="U21" s="761"/>
      <c r="V21" s="747">
        <f t="shared" si="11"/>
        <v>0</v>
      </c>
      <c r="W21" s="494"/>
    </row>
    <row r="22" spans="1:23" x14ac:dyDescent="0.25">
      <c r="A22" s="500"/>
      <c r="B22" s="758" t="s">
        <v>450</v>
      </c>
      <c r="C22" s="701">
        <f>-C145</f>
        <v>-499153498.25</v>
      </c>
      <c r="D22" s="701">
        <f t="shared" ref="D22:J22" si="26">-D145</f>
        <v>-504857598</v>
      </c>
      <c r="E22" s="701">
        <f t="shared" si="26"/>
        <v>-504857598</v>
      </c>
      <c r="F22" s="701">
        <f t="shared" si="26"/>
        <v>-497618769</v>
      </c>
      <c r="G22" s="759"/>
      <c r="H22" s="701">
        <f t="shared" si="26"/>
        <v>-253233378</v>
      </c>
      <c r="I22" s="701">
        <f t="shared" si="26"/>
        <v>-373794512</v>
      </c>
      <c r="J22" s="701">
        <f t="shared" si="26"/>
        <v>-497618769</v>
      </c>
      <c r="K22" s="701"/>
      <c r="L22" s="702">
        <f t="shared" si="3"/>
        <v>0.50159367513371567</v>
      </c>
      <c r="M22" s="702">
        <f t="shared" si="4"/>
        <v>0.74039593239913959</v>
      </c>
      <c r="N22" s="702">
        <f t="shared" si="5"/>
        <v>1</v>
      </c>
      <c r="O22" s="759"/>
      <c r="P22" s="701">
        <f t="shared" ref="P22:S22" si="27">-P145</f>
        <v>-5704099.75</v>
      </c>
      <c r="Q22" s="701">
        <f t="shared" si="27"/>
        <v>0</v>
      </c>
      <c r="R22" s="701">
        <f t="shared" si="27"/>
        <v>7238829</v>
      </c>
      <c r="S22" s="701">
        <f t="shared" si="27"/>
        <v>1534729.25</v>
      </c>
      <c r="T22" s="760">
        <f t="shared" si="8"/>
        <v>-3.0746639167724193E-3</v>
      </c>
      <c r="U22" s="761"/>
      <c r="V22" s="747">
        <f t="shared" si="11"/>
        <v>0</v>
      </c>
      <c r="W22" s="494"/>
    </row>
    <row r="23" spans="1:23" x14ac:dyDescent="0.25">
      <c r="A23" s="586"/>
      <c r="B23" s="763" t="s">
        <v>380</v>
      </c>
      <c r="C23" s="721">
        <f>SUM(C13:C22)</f>
        <v>1755110245.25</v>
      </c>
      <c r="D23" s="721">
        <f t="shared" ref="D23:F23" si="28">SUM(D13:D22)</f>
        <v>1756051845</v>
      </c>
      <c r="E23" s="721">
        <f t="shared" si="28"/>
        <v>1806051845</v>
      </c>
      <c r="F23" s="721">
        <f t="shared" si="28"/>
        <v>1802755197</v>
      </c>
      <c r="G23" s="764"/>
      <c r="H23" s="721">
        <f t="shared" ref="H23" si="29">SUM(H13:H22)</f>
        <v>687383223</v>
      </c>
      <c r="I23" s="721">
        <f t="shared" ref="I23" si="30">SUM(I13:I22)</f>
        <v>937070636</v>
      </c>
      <c r="J23" s="721">
        <f t="shared" ref="J23" si="31">SUM(J13:J22)</f>
        <v>1271085822</v>
      </c>
      <c r="K23" s="721"/>
      <c r="L23" s="707">
        <f t="shared" si="3"/>
        <v>0.39143674770035047</v>
      </c>
      <c r="M23" s="707">
        <f t="shared" si="4"/>
        <v>0.51885035227214094</v>
      </c>
      <c r="N23" s="707">
        <f t="shared" si="5"/>
        <v>0.70507954941150008</v>
      </c>
      <c r="O23" s="764"/>
      <c r="P23" s="721">
        <f>SUM(P13:P22)</f>
        <v>941599.75</v>
      </c>
      <c r="Q23" s="721">
        <f>SUM(Q13:Q22)</f>
        <v>50000000</v>
      </c>
      <c r="R23" s="721">
        <f t="shared" ref="R23:S23" si="32">SUM(R13:R22)</f>
        <v>-3296648</v>
      </c>
      <c r="S23" s="721">
        <f t="shared" si="32"/>
        <v>47644951.75</v>
      </c>
      <c r="T23" s="760">
        <f t="shared" si="8"/>
        <v>2.7146415377008636E-2</v>
      </c>
      <c r="U23" s="765"/>
      <c r="V23" s="747">
        <f t="shared" si="11"/>
        <v>0</v>
      </c>
      <c r="W23" s="494"/>
    </row>
    <row r="24" spans="1:23" x14ac:dyDescent="0.25">
      <c r="A24" s="500"/>
      <c r="B24" s="766" t="s">
        <v>417</v>
      </c>
      <c r="C24" s="726"/>
      <c r="D24" s="726"/>
      <c r="E24" s="726"/>
      <c r="F24" s="726"/>
      <c r="G24" s="767"/>
      <c r="H24" s="726"/>
      <c r="I24" s="726"/>
      <c r="J24" s="726"/>
      <c r="K24" s="726"/>
      <c r="L24" s="768"/>
      <c r="M24" s="768"/>
      <c r="N24" s="768"/>
      <c r="O24" s="767"/>
      <c r="P24" s="726"/>
      <c r="Q24" s="726"/>
      <c r="R24" s="726"/>
      <c r="S24" s="726"/>
      <c r="T24" s="760">
        <f t="shared" si="8"/>
        <v>0</v>
      </c>
      <c r="U24" s="769"/>
      <c r="V24" s="747">
        <f t="shared" si="11"/>
        <v>0</v>
      </c>
      <c r="W24" s="494"/>
    </row>
    <row r="25" spans="1:23" x14ac:dyDescent="0.25">
      <c r="A25" s="593"/>
      <c r="B25" s="593"/>
      <c r="C25" s="770"/>
      <c r="D25" s="648"/>
      <c r="E25" s="648"/>
      <c r="F25" s="771"/>
      <c r="G25" s="648"/>
      <c r="H25" s="770"/>
      <c r="I25" s="653"/>
      <c r="J25" s="653"/>
      <c r="K25" s="648"/>
      <c r="L25" s="772"/>
      <c r="M25" s="772"/>
      <c r="N25" s="773"/>
      <c r="O25" s="648"/>
      <c r="P25" s="770"/>
      <c r="Q25" s="647"/>
      <c r="R25" s="647"/>
      <c r="S25" s="647"/>
      <c r="T25" s="774"/>
      <c r="U25" s="648"/>
      <c r="V25" s="494"/>
      <c r="W25" s="494"/>
    </row>
    <row r="26" spans="1:23" x14ac:dyDescent="0.25">
      <c r="A26" s="593"/>
      <c r="B26" s="593"/>
      <c r="C26" s="770"/>
      <c r="D26" s="648"/>
      <c r="E26" s="648"/>
      <c r="F26" s="771"/>
      <c r="G26" s="648"/>
      <c r="H26" s="770"/>
      <c r="I26" s="653"/>
      <c r="J26" s="653"/>
      <c r="K26" s="648"/>
      <c r="L26" s="772"/>
      <c r="M26" s="772"/>
      <c r="N26" s="773"/>
      <c r="O26" s="648"/>
      <c r="P26" s="770"/>
      <c r="Q26" s="647"/>
      <c r="R26" s="647"/>
      <c r="S26" s="647"/>
      <c r="T26" s="774"/>
      <c r="U26" s="648"/>
      <c r="V26" s="494"/>
      <c r="W26" s="494"/>
    </row>
    <row r="27" spans="1:23" x14ac:dyDescent="0.25">
      <c r="A27" s="593"/>
      <c r="B27" s="593"/>
      <c r="C27" s="770"/>
      <c r="D27" s="648"/>
      <c r="E27" s="648"/>
      <c r="F27" s="771"/>
      <c r="G27" s="648"/>
      <c r="H27" s="770"/>
      <c r="I27" s="653"/>
      <c r="J27" s="653"/>
      <c r="K27" s="648"/>
      <c r="L27" s="772"/>
      <c r="M27" s="772"/>
      <c r="N27" s="773"/>
      <c r="O27" s="648"/>
      <c r="P27" s="770"/>
      <c r="Q27" s="647"/>
      <c r="R27" s="647"/>
      <c r="S27" s="647"/>
      <c r="T27" s="774"/>
      <c r="U27" s="648"/>
      <c r="V27" s="494"/>
      <c r="W27" s="494"/>
    </row>
    <row r="28" spans="1:23" x14ac:dyDescent="0.25">
      <c r="A28" s="656" t="s">
        <v>0</v>
      </c>
      <c r="B28" s="656" t="str">
        <f>+'3. Önk. Kiadások'!B13</f>
        <v>Személyi juttatások</v>
      </c>
      <c r="C28" s="770"/>
      <c r="D28" s="648"/>
      <c r="E28" s="648"/>
      <c r="F28" s="771"/>
      <c r="G28" s="648"/>
      <c r="H28" s="770"/>
      <c r="I28" s="653"/>
      <c r="J28" s="653"/>
      <c r="K28" s="648"/>
      <c r="L28" s="772"/>
      <c r="M28" s="772"/>
      <c r="N28" s="773"/>
      <c r="O28" s="648"/>
      <c r="P28" s="770"/>
      <c r="Q28" s="647"/>
      <c r="R28" s="647"/>
      <c r="S28" s="647"/>
      <c r="T28" s="774"/>
      <c r="U28" s="648"/>
      <c r="V28" s="494"/>
      <c r="W28" s="494"/>
    </row>
    <row r="29" spans="1:23" x14ac:dyDescent="0.25">
      <c r="A29" s="593"/>
      <c r="B29" s="593" t="str">
        <f>+'3. Önk. Kiadások'!A1</f>
        <v>Sülysáp Város Önkormányzata</v>
      </c>
      <c r="C29" s="770">
        <f>+'3. Önk. Kiadások'!C13</f>
        <v>82119000</v>
      </c>
      <c r="D29" s="647">
        <f>+'3. Önk. Kiadások'!D13</f>
        <v>82119000</v>
      </c>
      <c r="E29" s="647">
        <f>+'3. Önk. Kiadások'!E13</f>
        <v>82619000</v>
      </c>
      <c r="F29" s="775">
        <f>+'3. Önk. Kiadások'!F13</f>
        <v>81970803</v>
      </c>
      <c r="G29" s="647">
        <f>+'3. Önk. Kiadások'!G13</f>
        <v>0</v>
      </c>
      <c r="H29" s="770">
        <f>+'3. Önk. Kiadások'!H13</f>
        <v>43026244</v>
      </c>
      <c r="I29" s="647">
        <f>+'3. Önk. Kiadások'!I13</f>
        <v>65061828</v>
      </c>
      <c r="J29" s="647">
        <f>+'3. Önk. Kiadások'!J13</f>
        <v>81970803</v>
      </c>
      <c r="K29" s="647"/>
      <c r="L29" s="776">
        <f t="shared" ref="L29:L92" si="33">IF(D29=0,0,H29/D29)</f>
        <v>0.52394992632642867</v>
      </c>
      <c r="M29" s="776">
        <f t="shared" ref="M29:M92" si="34">IF(E29=0,0,I29/E29)</f>
        <v>0.78749232016848425</v>
      </c>
      <c r="N29" s="777">
        <f t="shared" ref="N29:N92" si="35">IF(F29=0,0,J29/F29)</f>
        <v>1</v>
      </c>
      <c r="O29" s="647"/>
      <c r="P29" s="770">
        <f>+'3. Önk. Kiadások'!P13</f>
        <v>0</v>
      </c>
      <c r="Q29" s="647">
        <f>+'3. Önk. Kiadások'!Q13</f>
        <v>500000</v>
      </c>
      <c r="R29" s="647">
        <f>+'3. Önk. Kiadások'!R13</f>
        <v>-648197</v>
      </c>
      <c r="S29" s="647">
        <f>+'3. Önk. Kiadások'!S13</f>
        <v>-148197</v>
      </c>
      <c r="T29" s="778">
        <f t="shared" ref="T29:T37" si="36">IF(C29=0,0,+S29/C29)</f>
        <v>-1.8046615277828516E-3</v>
      </c>
      <c r="U29" s="648"/>
      <c r="V29" s="494"/>
      <c r="W29" s="494"/>
    </row>
    <row r="30" spans="1:23" x14ac:dyDescent="0.25">
      <c r="A30" s="593"/>
      <c r="B30" s="655" t="s">
        <v>458</v>
      </c>
      <c r="C30" s="770">
        <f>+'4. Dr Gáspár HSZK'!C13</f>
        <v>21961962</v>
      </c>
      <c r="D30" s="647">
        <f>+'4. Dr Gáspár HSZK'!D13</f>
        <v>21961962</v>
      </c>
      <c r="E30" s="647">
        <f>+'4. Dr Gáspár HSZK'!E13</f>
        <v>21961962</v>
      </c>
      <c r="F30" s="775">
        <f>+'4. Dr Gáspár HSZK'!F13</f>
        <v>22536962</v>
      </c>
      <c r="G30" s="647"/>
      <c r="H30" s="770">
        <f>+'4. Dr Gáspár HSZK'!H13</f>
        <v>10918777</v>
      </c>
      <c r="I30" s="647">
        <f>+'4. Dr Gáspár HSZK'!I13</f>
        <v>16567111</v>
      </c>
      <c r="J30" s="647">
        <f>+'4. Dr Gáspár HSZK'!J13</f>
        <v>22533469</v>
      </c>
      <c r="K30" s="647"/>
      <c r="L30" s="776">
        <f t="shared" si="33"/>
        <v>0.49716764831848814</v>
      </c>
      <c r="M30" s="776">
        <f t="shared" si="34"/>
        <v>0.75435477941360618</v>
      </c>
      <c r="N30" s="777">
        <f t="shared" si="35"/>
        <v>0.9998450101659665</v>
      </c>
      <c r="O30" s="647"/>
      <c r="P30" s="770">
        <f>+'4. Dr Gáspár HSZK'!P13</f>
        <v>0</v>
      </c>
      <c r="Q30" s="647">
        <f>+'4. Dr Gáspár HSZK'!Q13</f>
        <v>0</v>
      </c>
      <c r="R30" s="647">
        <f>+'4. Dr Gáspár HSZK'!R13</f>
        <v>575000</v>
      </c>
      <c r="S30" s="647">
        <f>+'4. Dr Gáspár HSZK'!S13</f>
        <v>575000</v>
      </c>
      <c r="T30" s="778">
        <f t="shared" si="36"/>
        <v>2.6181631677534092E-2</v>
      </c>
      <c r="U30" s="648"/>
      <c r="V30" s="494"/>
      <c r="W30" s="494"/>
    </row>
    <row r="31" spans="1:23" x14ac:dyDescent="0.25">
      <c r="A31" s="593"/>
      <c r="B31" s="655" t="s">
        <v>464</v>
      </c>
      <c r="C31" s="770">
        <f>+'5. Csicsergő'!C13</f>
        <v>148459000</v>
      </c>
      <c r="D31" s="647">
        <f>+'5. Csicsergő'!D13</f>
        <v>148459000</v>
      </c>
      <c r="E31" s="647">
        <f>+'5. Csicsergő'!E13</f>
        <v>148459000</v>
      </c>
      <c r="F31" s="775">
        <f>+'5. Csicsergő'!F13</f>
        <v>145306971</v>
      </c>
      <c r="G31" s="647"/>
      <c r="H31" s="770">
        <f>+'5. Csicsergő'!H13</f>
        <v>68859120</v>
      </c>
      <c r="I31" s="647">
        <f>+'5. Csicsergő'!I13</f>
        <v>105554261</v>
      </c>
      <c r="J31" s="647">
        <f>+'5. Csicsergő'!J13</f>
        <v>145306971</v>
      </c>
      <c r="K31" s="647"/>
      <c r="L31" s="776">
        <f t="shared" si="33"/>
        <v>0.46382583743659866</v>
      </c>
      <c r="M31" s="776">
        <f t="shared" si="34"/>
        <v>0.71099940724375077</v>
      </c>
      <c r="N31" s="777">
        <f t="shared" si="35"/>
        <v>1</v>
      </c>
      <c r="O31" s="647"/>
      <c r="P31" s="770">
        <f>+'5. Csicsergő'!P13</f>
        <v>0</v>
      </c>
      <c r="Q31" s="647">
        <f>+'5. Csicsergő'!Q13</f>
        <v>0</v>
      </c>
      <c r="R31" s="647">
        <f>+'5. Csicsergő'!R13</f>
        <v>-3152029</v>
      </c>
      <c r="S31" s="647">
        <f>+'5. Csicsergő'!S13</f>
        <v>-3152029</v>
      </c>
      <c r="T31" s="778">
        <f t="shared" si="36"/>
        <v>-2.1231646447840816E-2</v>
      </c>
      <c r="U31" s="648"/>
      <c r="V31" s="494"/>
      <c r="W31" s="494"/>
    </row>
    <row r="32" spans="1:23" x14ac:dyDescent="0.25">
      <c r="A32" s="593"/>
      <c r="B32" s="655" t="s">
        <v>465</v>
      </c>
      <c r="C32" s="770">
        <f>+'6. Gólyahír'!C13</f>
        <v>38374000</v>
      </c>
      <c r="D32" s="647">
        <f>+'6. Gólyahír'!D13</f>
        <v>38374000</v>
      </c>
      <c r="E32" s="647">
        <f>+'6. Gólyahír'!E13</f>
        <v>38374000</v>
      </c>
      <c r="F32" s="775">
        <f>+'6. Gólyahír'!F13</f>
        <v>39119000</v>
      </c>
      <c r="G32" s="647"/>
      <c r="H32" s="770">
        <f>+'6. Gólyahír'!H13</f>
        <v>18295020</v>
      </c>
      <c r="I32" s="647">
        <f>+'6. Gólyahír'!I13</f>
        <v>28249333</v>
      </c>
      <c r="J32" s="647">
        <f>+'6. Gólyahír'!J13</f>
        <v>39003930</v>
      </c>
      <c r="K32" s="647"/>
      <c r="L32" s="776">
        <f t="shared" si="33"/>
        <v>0.47675561578151876</v>
      </c>
      <c r="M32" s="776">
        <f t="shared" si="34"/>
        <v>0.73615815395840933</v>
      </c>
      <c r="N32" s="777">
        <f t="shared" si="35"/>
        <v>0.99705846263963804</v>
      </c>
      <c r="O32" s="647"/>
      <c r="P32" s="770">
        <f>+'6. Gólyahír'!P13</f>
        <v>0</v>
      </c>
      <c r="Q32" s="647">
        <f>+'6. Gólyahír'!Q13</f>
        <v>0</v>
      </c>
      <c r="R32" s="647">
        <f>+'6. Gólyahír'!R13</f>
        <v>745000</v>
      </c>
      <c r="S32" s="647">
        <f>+'6. Gólyahír'!S13</f>
        <v>745000</v>
      </c>
      <c r="T32" s="778">
        <f t="shared" si="36"/>
        <v>1.9414186688903944E-2</v>
      </c>
      <c r="U32" s="648"/>
      <c r="V32" s="494"/>
      <c r="W32" s="494"/>
    </row>
    <row r="33" spans="1:23" x14ac:dyDescent="0.25">
      <c r="A33" s="593"/>
      <c r="B33" s="663" t="s">
        <v>460</v>
      </c>
      <c r="C33" s="770">
        <f>+'7. Polg.Hiv.'!C13</f>
        <v>96264900</v>
      </c>
      <c r="D33" s="647">
        <f>+'7. Polg.Hiv.'!D13</f>
        <v>97206500</v>
      </c>
      <c r="E33" s="647">
        <f>+'7. Polg.Hiv.'!E13</f>
        <v>97206500</v>
      </c>
      <c r="F33" s="775">
        <f>+'7. Polg.Hiv.'!F13</f>
        <v>95856500</v>
      </c>
      <c r="G33" s="647"/>
      <c r="H33" s="770">
        <f>+'7. Polg.Hiv.'!H13</f>
        <v>45938363</v>
      </c>
      <c r="I33" s="647">
        <f>+'7. Polg.Hiv.'!I13</f>
        <v>69087844</v>
      </c>
      <c r="J33" s="647">
        <f>+'7. Polg.Hiv.'!J13</f>
        <v>94926606</v>
      </c>
      <c r="K33" s="647"/>
      <c r="L33" s="776">
        <f t="shared" si="33"/>
        <v>0.47258530036571628</v>
      </c>
      <c r="M33" s="776">
        <f t="shared" si="34"/>
        <v>0.71073275964055904</v>
      </c>
      <c r="N33" s="777">
        <f t="shared" si="35"/>
        <v>0.99029910334719085</v>
      </c>
      <c r="O33" s="647"/>
      <c r="P33" s="770">
        <f>+'7. Polg.Hiv.'!P13</f>
        <v>941600</v>
      </c>
      <c r="Q33" s="647">
        <f>+'7. Polg.Hiv.'!Q13</f>
        <v>0</v>
      </c>
      <c r="R33" s="647">
        <f>+'7. Polg.Hiv.'!R13</f>
        <v>-1350000</v>
      </c>
      <c r="S33" s="647">
        <f>+'7. Polg.Hiv.'!S13</f>
        <v>-408400</v>
      </c>
      <c r="T33" s="778">
        <f t="shared" si="36"/>
        <v>-4.2424601282502758E-3</v>
      </c>
      <c r="U33" s="648"/>
      <c r="V33" s="494"/>
      <c r="W33" s="494"/>
    </row>
    <row r="34" spans="1:23" x14ac:dyDescent="0.25">
      <c r="A34" s="593"/>
      <c r="B34" s="647" t="s">
        <v>431</v>
      </c>
      <c r="C34" s="770">
        <f>+'8. WAMKK'!C13</f>
        <v>15154800</v>
      </c>
      <c r="D34" s="647">
        <f>+'8. WAMKK'!D13</f>
        <v>15154800</v>
      </c>
      <c r="E34" s="647">
        <f>+'8. WAMKK'!E13</f>
        <v>15341000</v>
      </c>
      <c r="F34" s="775">
        <f>+'8. WAMKK'!F13</f>
        <v>15302921</v>
      </c>
      <c r="G34" s="647"/>
      <c r="H34" s="770">
        <f>+'8. WAMKK'!H13</f>
        <v>7355054</v>
      </c>
      <c r="I34" s="647">
        <f>+'8. WAMKK'!I13</f>
        <v>11516800</v>
      </c>
      <c r="J34" s="647">
        <f>+'8. WAMKK'!J13</f>
        <v>14941528</v>
      </c>
      <c r="K34" s="647"/>
      <c r="L34" s="776">
        <f t="shared" si="33"/>
        <v>0.48532834481484416</v>
      </c>
      <c r="M34" s="776">
        <f t="shared" si="34"/>
        <v>0.75072029202789914</v>
      </c>
      <c r="N34" s="777">
        <f t="shared" si="35"/>
        <v>0.97638405112331172</v>
      </c>
      <c r="O34" s="647"/>
      <c r="P34" s="770">
        <f>+'8. WAMKK'!P13</f>
        <v>0</v>
      </c>
      <c r="Q34" s="647">
        <f>+'8. WAMKK'!Q13</f>
        <v>186200</v>
      </c>
      <c r="R34" s="647">
        <f>+'8. WAMKK'!R13</f>
        <v>-38079</v>
      </c>
      <c r="S34" s="647">
        <f>+'8. WAMKK'!S13</f>
        <v>148121</v>
      </c>
      <c r="T34" s="778">
        <f t="shared" si="36"/>
        <v>9.7738670256288431E-3</v>
      </c>
      <c r="U34" s="648"/>
      <c r="V34" s="494"/>
      <c r="W34" s="494"/>
    </row>
    <row r="35" spans="1:23" x14ac:dyDescent="0.25">
      <c r="A35" s="593"/>
      <c r="B35" s="647" t="s">
        <v>432</v>
      </c>
      <c r="C35" s="770">
        <f>+'9. Közp. Konyha'!C13</f>
        <v>28479750</v>
      </c>
      <c r="D35" s="647">
        <f>+'9. Közp. Konyha'!D13</f>
        <v>28479750</v>
      </c>
      <c r="E35" s="647">
        <f>+'9. Közp. Konyha'!E13</f>
        <v>28479750</v>
      </c>
      <c r="F35" s="775">
        <f>+'9. Közp. Konyha'!F13</f>
        <v>28268044</v>
      </c>
      <c r="G35" s="647"/>
      <c r="H35" s="770">
        <f>+'9. Közp. Konyha'!H13</f>
        <v>12457606</v>
      </c>
      <c r="I35" s="647">
        <f>+'9. Közp. Konyha'!I13</f>
        <v>18355959</v>
      </c>
      <c r="J35" s="647">
        <f>+'9. Közp. Konyha'!J13</f>
        <v>25382833</v>
      </c>
      <c r="K35" s="647"/>
      <c r="L35" s="776">
        <f t="shared" si="33"/>
        <v>0.43741978072138976</v>
      </c>
      <c r="M35" s="776">
        <f t="shared" si="34"/>
        <v>0.64452669001659069</v>
      </c>
      <c r="N35" s="777">
        <f t="shared" si="35"/>
        <v>0.8979338294506688</v>
      </c>
      <c r="O35" s="647"/>
      <c r="P35" s="770">
        <f>+'9. Közp. Konyha'!P13</f>
        <v>0</v>
      </c>
      <c r="Q35" s="647">
        <f>+'9. Közp. Konyha'!Q13</f>
        <v>0</v>
      </c>
      <c r="R35" s="647">
        <f>+'9. Közp. Konyha'!R13</f>
        <v>-211706</v>
      </c>
      <c r="S35" s="647">
        <f>+'9. Közp. Konyha'!S13</f>
        <v>-211706</v>
      </c>
      <c r="T35" s="778">
        <f t="shared" si="36"/>
        <v>-7.4335624434905502E-3</v>
      </c>
      <c r="U35" s="648"/>
      <c r="V35" s="494"/>
      <c r="W35" s="494"/>
    </row>
    <row r="36" spans="1:23" ht="8.1" customHeight="1" x14ac:dyDescent="0.25">
      <c r="A36" s="593"/>
      <c r="B36" s="779" t="s">
        <v>455</v>
      </c>
      <c r="C36" s="780"/>
      <c r="D36" s="781"/>
      <c r="E36" s="781"/>
      <c r="F36" s="782"/>
      <c r="G36" s="781"/>
      <c r="H36" s="780"/>
      <c r="I36" s="781"/>
      <c r="J36" s="781"/>
      <c r="K36" s="781"/>
      <c r="L36" s="783"/>
      <c r="M36" s="783"/>
      <c r="N36" s="784"/>
      <c r="O36" s="781"/>
      <c r="P36" s="780"/>
      <c r="Q36" s="781"/>
      <c r="R36" s="781"/>
      <c r="S36" s="781"/>
      <c r="T36" s="785"/>
      <c r="U36" s="648"/>
      <c r="V36" s="494"/>
      <c r="W36" s="494"/>
    </row>
    <row r="37" spans="1:23" x14ac:dyDescent="0.25">
      <c r="A37" s="786" t="str">
        <f>+A28</f>
        <v>K1</v>
      </c>
      <c r="B37" s="787" t="s">
        <v>449</v>
      </c>
      <c r="C37" s="788">
        <f>SUM(C29:C36)</f>
        <v>430813412</v>
      </c>
      <c r="D37" s="789">
        <f t="shared" ref="D37:F37" si="37">SUM(D29:D36)</f>
        <v>431755012</v>
      </c>
      <c r="E37" s="789">
        <f t="shared" si="37"/>
        <v>432441212</v>
      </c>
      <c r="F37" s="790">
        <f t="shared" si="37"/>
        <v>428361201</v>
      </c>
      <c r="G37" s="789"/>
      <c r="H37" s="788">
        <f>SUM(H29:H36)</f>
        <v>206850184</v>
      </c>
      <c r="I37" s="789">
        <f t="shared" ref="I37:J37" si="38">SUM(I29:I36)</f>
        <v>314393136</v>
      </c>
      <c r="J37" s="789">
        <f t="shared" si="38"/>
        <v>424066140</v>
      </c>
      <c r="K37" s="789"/>
      <c r="L37" s="791">
        <f t="shared" si="33"/>
        <v>0.47909156408356879</v>
      </c>
      <c r="M37" s="791">
        <f t="shared" si="34"/>
        <v>0.72701936650755661</v>
      </c>
      <c r="N37" s="792">
        <f t="shared" si="35"/>
        <v>0.98997327257937162</v>
      </c>
      <c r="O37" s="789"/>
      <c r="P37" s="788">
        <f>SUM(P29:P36)</f>
        <v>941600</v>
      </c>
      <c r="Q37" s="789">
        <f t="shared" ref="Q37:S37" si="39">SUM(Q29:Q36)</f>
        <v>686200</v>
      </c>
      <c r="R37" s="789">
        <f t="shared" si="39"/>
        <v>-4080011</v>
      </c>
      <c r="S37" s="789">
        <f t="shared" si="39"/>
        <v>-2452211</v>
      </c>
      <c r="T37" s="793">
        <f t="shared" si="36"/>
        <v>-5.6920488817093747E-3</v>
      </c>
      <c r="U37" s="648"/>
      <c r="V37" s="494"/>
      <c r="W37" s="494"/>
    </row>
    <row r="38" spans="1:23" x14ac:dyDescent="0.25">
      <c r="A38" s="593"/>
      <c r="B38" s="593"/>
      <c r="C38" s="770"/>
      <c r="D38" s="648"/>
      <c r="E38" s="648"/>
      <c r="F38" s="771"/>
      <c r="G38" s="648"/>
      <c r="H38" s="770"/>
      <c r="I38" s="653"/>
      <c r="J38" s="653"/>
      <c r="K38" s="648"/>
      <c r="L38" s="776"/>
      <c r="M38" s="776"/>
      <c r="N38" s="777"/>
      <c r="O38" s="648"/>
      <c r="P38" s="770"/>
      <c r="Q38" s="647"/>
      <c r="R38" s="647"/>
      <c r="S38" s="647"/>
      <c r="T38" s="794"/>
      <c r="U38" s="648"/>
      <c r="V38" s="494"/>
      <c r="W38" s="494"/>
    </row>
    <row r="39" spans="1:23" x14ac:dyDescent="0.25">
      <c r="A39" s="593"/>
      <c r="B39" s="593"/>
      <c r="C39" s="770"/>
      <c r="D39" s="648"/>
      <c r="E39" s="648"/>
      <c r="F39" s="771"/>
      <c r="G39" s="648"/>
      <c r="H39" s="770"/>
      <c r="I39" s="653"/>
      <c r="J39" s="653"/>
      <c r="K39" s="648"/>
      <c r="L39" s="776"/>
      <c r="M39" s="776"/>
      <c r="N39" s="777"/>
      <c r="O39" s="648"/>
      <c r="P39" s="770"/>
      <c r="Q39" s="647"/>
      <c r="R39" s="647"/>
      <c r="S39" s="647"/>
      <c r="T39" s="794"/>
      <c r="U39" s="648"/>
      <c r="V39" s="494"/>
      <c r="W39" s="494"/>
    </row>
    <row r="40" spans="1:23" x14ac:dyDescent="0.25">
      <c r="A40" s="656" t="s">
        <v>27</v>
      </c>
      <c r="B40" s="656" t="str">
        <f>+'3. Önk. Kiadások'!B29</f>
        <v>Munkaadót terhelő járulékok és szociális hozzájárulás</v>
      </c>
      <c r="C40" s="770"/>
      <c r="D40" s="648"/>
      <c r="E40" s="648"/>
      <c r="F40" s="771"/>
      <c r="G40" s="648"/>
      <c r="H40" s="770"/>
      <c r="I40" s="653"/>
      <c r="J40" s="653"/>
      <c r="K40" s="648"/>
      <c r="L40" s="776"/>
      <c r="M40" s="776"/>
      <c r="N40" s="777"/>
      <c r="O40" s="648"/>
      <c r="P40" s="770"/>
      <c r="Q40" s="647"/>
      <c r="R40" s="647"/>
      <c r="S40" s="647"/>
      <c r="T40" s="794"/>
      <c r="U40" s="648"/>
      <c r="V40" s="494"/>
      <c r="W40" s="494"/>
    </row>
    <row r="41" spans="1:23" x14ac:dyDescent="0.25">
      <c r="A41" s="593"/>
      <c r="B41" s="655" t="str">
        <f t="shared" ref="B41:B47" si="40">+B29</f>
        <v>Sülysáp Város Önkormányzata</v>
      </c>
      <c r="C41" s="770">
        <f>+'3. Önk. Kiadások'!C29</f>
        <v>12300000</v>
      </c>
      <c r="D41" s="647">
        <f>+'3. Önk. Kiadások'!D29</f>
        <v>12300000</v>
      </c>
      <c r="E41" s="647">
        <f>+'3. Önk. Kiadások'!E29</f>
        <v>12300000</v>
      </c>
      <c r="F41" s="775">
        <f>+'3. Önk. Kiadások'!F29</f>
        <v>13090501</v>
      </c>
      <c r="G41" s="648"/>
      <c r="H41" s="770">
        <f>+'3. Önk. Kiadások'!H29</f>
        <v>6881317</v>
      </c>
      <c r="I41" s="647">
        <f>+'3. Önk. Kiadások'!I29</f>
        <v>10581687</v>
      </c>
      <c r="J41" s="647">
        <f>+'3. Önk. Kiadások'!J29</f>
        <v>13085278</v>
      </c>
      <c r="K41" s="648"/>
      <c r="L41" s="776">
        <f t="shared" si="33"/>
        <v>0.55945666666666671</v>
      </c>
      <c r="M41" s="776">
        <f t="shared" si="34"/>
        <v>0.86029975609756093</v>
      </c>
      <c r="N41" s="777">
        <f t="shared" si="35"/>
        <v>0.99960100839532418</v>
      </c>
      <c r="O41" s="648"/>
      <c r="P41" s="770">
        <f>+'3. Önk. Kiadások'!P29</f>
        <v>0</v>
      </c>
      <c r="Q41" s="647">
        <f>+'3. Önk. Kiadások'!Q29</f>
        <v>0</v>
      </c>
      <c r="R41" s="647">
        <f>+'3. Önk. Kiadások'!R29</f>
        <v>790501</v>
      </c>
      <c r="S41" s="647">
        <f>+'3. Önk. Kiadások'!S29</f>
        <v>790501</v>
      </c>
      <c r="T41" s="778">
        <f t="shared" ref="T41:T49" si="41">IF(C41=0,0,+S41/C41)</f>
        <v>6.4268373983739843E-2</v>
      </c>
      <c r="U41" s="648"/>
      <c r="V41" s="494"/>
      <c r="W41" s="494"/>
    </row>
    <row r="42" spans="1:23" x14ac:dyDescent="0.25">
      <c r="A42" s="593"/>
      <c r="B42" s="655" t="str">
        <f t="shared" si="40"/>
        <v>Gondozási Központ</v>
      </c>
      <c r="C42" s="770">
        <f>+'4. Dr Gáspár HSZK'!C29</f>
        <v>4340000</v>
      </c>
      <c r="D42" s="647">
        <f>+'4. Dr Gáspár HSZK'!D29</f>
        <v>4340000</v>
      </c>
      <c r="E42" s="647">
        <f>+'4. Dr Gáspár HSZK'!E29</f>
        <v>4340000</v>
      </c>
      <c r="F42" s="775">
        <f>+'4. Dr Gáspár HSZK'!F29</f>
        <v>4620000</v>
      </c>
      <c r="G42" s="647"/>
      <c r="H42" s="770">
        <f>+'4. Dr Gáspár HSZK'!H29</f>
        <v>2416631</v>
      </c>
      <c r="I42" s="647">
        <f>+'4. Dr Gáspár HSZK'!I29</f>
        <v>3566100</v>
      </c>
      <c r="J42" s="647">
        <f>+'4. Dr Gáspár HSZK'!J29</f>
        <v>4616322</v>
      </c>
      <c r="K42" s="647"/>
      <c r="L42" s="776">
        <f t="shared" si="33"/>
        <v>0.5568274193548387</v>
      </c>
      <c r="M42" s="776">
        <f t="shared" si="34"/>
        <v>0.82168202764976961</v>
      </c>
      <c r="N42" s="777">
        <f t="shared" si="35"/>
        <v>0.99920389610389615</v>
      </c>
      <c r="O42" s="647"/>
      <c r="P42" s="770">
        <f>+'4. Dr Gáspár HSZK'!P29</f>
        <v>0</v>
      </c>
      <c r="Q42" s="647">
        <f>+'4. Dr Gáspár HSZK'!Q29</f>
        <v>0</v>
      </c>
      <c r="R42" s="647">
        <f>+'4. Dr Gáspár HSZK'!R29</f>
        <v>280000</v>
      </c>
      <c r="S42" s="647">
        <f>+'4. Dr Gáspár HSZK'!S29</f>
        <v>280000</v>
      </c>
      <c r="T42" s="778">
        <f t="shared" si="41"/>
        <v>6.4516129032258063E-2</v>
      </c>
      <c r="U42" s="648"/>
      <c r="V42" s="494"/>
      <c r="W42" s="494"/>
    </row>
    <row r="43" spans="1:23" x14ac:dyDescent="0.25">
      <c r="A43" s="593"/>
      <c r="B43" s="655" t="str">
        <f t="shared" si="40"/>
        <v>Csicsergő Napköziotthonos Óvoda</v>
      </c>
      <c r="C43" s="770">
        <f>+'5. Csicsergő'!C30</f>
        <v>30300000</v>
      </c>
      <c r="D43" s="647">
        <f>+'5. Csicsergő'!D30</f>
        <v>30300000</v>
      </c>
      <c r="E43" s="647">
        <f>+'5. Csicsergő'!E30</f>
        <v>30300000</v>
      </c>
      <c r="F43" s="775">
        <f>+'5. Csicsergő'!F30</f>
        <v>29246638</v>
      </c>
      <c r="G43" s="647"/>
      <c r="H43" s="770">
        <f>+'5. Csicsergő'!H30</f>
        <v>14667948</v>
      </c>
      <c r="I43" s="647">
        <f>+'5. Csicsergő'!I30</f>
        <v>21992464</v>
      </c>
      <c r="J43" s="647">
        <f>+'5. Csicsergő'!J30</f>
        <v>29246638</v>
      </c>
      <c r="K43" s="647"/>
      <c r="L43" s="776">
        <f t="shared" si="33"/>
        <v>0.48409069306930691</v>
      </c>
      <c r="M43" s="776">
        <f t="shared" si="34"/>
        <v>0.72582389438943895</v>
      </c>
      <c r="N43" s="777">
        <f t="shared" si="35"/>
        <v>1</v>
      </c>
      <c r="O43" s="647"/>
      <c r="P43" s="770">
        <f>+'5. Csicsergő'!P30</f>
        <v>0</v>
      </c>
      <c r="Q43" s="647">
        <f>+'5. Csicsergő'!Q30</f>
        <v>0</v>
      </c>
      <c r="R43" s="647">
        <f>+'5. Csicsergő'!R30</f>
        <v>-1053362</v>
      </c>
      <c r="S43" s="647">
        <f>+'5. Csicsergő'!S30</f>
        <v>-1053362</v>
      </c>
      <c r="T43" s="778">
        <f t="shared" si="41"/>
        <v>-3.4764422442244224E-2</v>
      </c>
      <c r="U43" s="648"/>
      <c r="V43" s="494"/>
      <c r="W43" s="494"/>
    </row>
    <row r="44" spans="1:23" x14ac:dyDescent="0.25">
      <c r="A44" s="593"/>
      <c r="B44" s="655" t="str">
        <f t="shared" si="40"/>
        <v>Gólyahír Bőlcsőde</v>
      </c>
      <c r="C44" s="770">
        <f>+'6. Gólyahír'!C29</f>
        <v>7570000</v>
      </c>
      <c r="D44" s="647">
        <f>+'6. Gólyahír'!D29</f>
        <v>7570000</v>
      </c>
      <c r="E44" s="647">
        <f>+'6. Gólyahír'!E29</f>
        <v>7570000</v>
      </c>
      <c r="F44" s="775">
        <f>+'6. Gólyahír'!F29</f>
        <v>7991000</v>
      </c>
      <c r="G44" s="647"/>
      <c r="H44" s="770">
        <f>+'6. Gólyahír'!H29</f>
        <v>3968216</v>
      </c>
      <c r="I44" s="647">
        <f>+'6. Gólyahír'!I29</f>
        <v>5974077</v>
      </c>
      <c r="J44" s="647">
        <f>+'6. Gólyahír'!J29</f>
        <v>7990466</v>
      </c>
      <c r="K44" s="647"/>
      <c r="L44" s="776">
        <f t="shared" si="33"/>
        <v>0.52420290620871868</v>
      </c>
      <c r="M44" s="776">
        <f t="shared" si="34"/>
        <v>0.78917793923381774</v>
      </c>
      <c r="N44" s="777">
        <f t="shared" si="35"/>
        <v>0.99993317482167443</v>
      </c>
      <c r="O44" s="647"/>
      <c r="P44" s="770">
        <f>+'6. Gólyahír'!P29</f>
        <v>0</v>
      </c>
      <c r="Q44" s="647">
        <f>+'6. Gólyahír'!Q29</f>
        <v>0</v>
      </c>
      <c r="R44" s="647">
        <f>+'6. Gólyahír'!R29</f>
        <v>421000</v>
      </c>
      <c r="S44" s="647">
        <f>+'6. Gólyahír'!S29</f>
        <v>421000</v>
      </c>
      <c r="T44" s="778">
        <f t="shared" si="41"/>
        <v>5.5614266842800526E-2</v>
      </c>
      <c r="U44" s="648"/>
      <c r="V44" s="494"/>
      <c r="W44" s="494"/>
    </row>
    <row r="45" spans="1:23" x14ac:dyDescent="0.25">
      <c r="A45" s="593"/>
      <c r="B45" s="655" t="str">
        <f t="shared" si="40"/>
        <v>Polgármesteri Hivatal</v>
      </c>
      <c r="C45" s="770">
        <f>+'7. Polg.Hiv.'!C29</f>
        <v>18584000</v>
      </c>
      <c r="D45" s="647">
        <f>+'7. Polg.Hiv.'!D29</f>
        <v>18584000</v>
      </c>
      <c r="E45" s="647">
        <f>+'7. Polg.Hiv.'!E29</f>
        <v>18584000</v>
      </c>
      <c r="F45" s="775">
        <f>+'7. Polg.Hiv.'!F29</f>
        <v>19934000</v>
      </c>
      <c r="G45" s="647"/>
      <c r="H45" s="770">
        <f>+'7. Polg.Hiv.'!H29</f>
        <v>10686574</v>
      </c>
      <c r="I45" s="647">
        <f>+'7. Polg.Hiv.'!I29</f>
        <v>15377304</v>
      </c>
      <c r="J45" s="647">
        <f>+'7. Polg.Hiv.'!J29</f>
        <v>19930824</v>
      </c>
      <c r="K45" s="647"/>
      <c r="L45" s="776">
        <f t="shared" si="33"/>
        <v>0.57504164873009045</v>
      </c>
      <c r="M45" s="776">
        <f t="shared" si="34"/>
        <v>0.82744855789926819</v>
      </c>
      <c r="N45" s="777">
        <f t="shared" si="35"/>
        <v>0.99984067422494227</v>
      </c>
      <c r="O45" s="647"/>
      <c r="P45" s="770">
        <f>+'7. Polg.Hiv.'!P29</f>
        <v>0</v>
      </c>
      <c r="Q45" s="647">
        <f>+'7. Polg.Hiv.'!Q29</f>
        <v>0</v>
      </c>
      <c r="R45" s="647">
        <f>+'7. Polg.Hiv.'!R29</f>
        <v>1350000</v>
      </c>
      <c r="S45" s="647">
        <f>+'7. Polg.Hiv.'!S29</f>
        <v>1350000</v>
      </c>
      <c r="T45" s="778">
        <f t="shared" si="41"/>
        <v>7.2643133878605257E-2</v>
      </c>
      <c r="U45" s="648"/>
      <c r="V45" s="494"/>
      <c r="W45" s="494"/>
    </row>
    <row r="46" spans="1:23" x14ac:dyDescent="0.25">
      <c r="A46" s="593"/>
      <c r="B46" s="655" t="str">
        <f t="shared" si="40"/>
        <v>Wass Albert Művelődési Központ és Könyvtár</v>
      </c>
      <c r="C46" s="770">
        <f>+'8. WAMKK'!C29</f>
        <v>3000000</v>
      </c>
      <c r="D46" s="647">
        <f>+'8. WAMKK'!D29</f>
        <v>3000000</v>
      </c>
      <c r="E46" s="647">
        <f>+'8. WAMKK'!E29</f>
        <v>3000000</v>
      </c>
      <c r="F46" s="775">
        <f>+'8. WAMKK'!F29</f>
        <v>3038079</v>
      </c>
      <c r="G46" s="647"/>
      <c r="H46" s="770">
        <f>+'8. WAMKK'!H29</f>
        <v>1585885</v>
      </c>
      <c r="I46" s="647">
        <f>+'8. WAMKK'!I29</f>
        <v>2473491</v>
      </c>
      <c r="J46" s="647">
        <f>+'8. WAMKK'!J29</f>
        <v>3038079</v>
      </c>
      <c r="K46" s="647"/>
      <c r="L46" s="776">
        <f t="shared" si="33"/>
        <v>0.52862833333333337</v>
      </c>
      <c r="M46" s="776">
        <f t="shared" si="34"/>
        <v>0.82449700000000004</v>
      </c>
      <c r="N46" s="777">
        <f t="shared" si="35"/>
        <v>1</v>
      </c>
      <c r="O46" s="647"/>
      <c r="P46" s="770">
        <f>+'8. WAMKK'!P29</f>
        <v>0</v>
      </c>
      <c r="Q46" s="647">
        <f>+'8. WAMKK'!Q29</f>
        <v>0</v>
      </c>
      <c r="R46" s="647">
        <f>+'8. WAMKK'!R29</f>
        <v>38079</v>
      </c>
      <c r="S46" s="647">
        <f>+'8. WAMKK'!S29</f>
        <v>38079</v>
      </c>
      <c r="T46" s="778">
        <f t="shared" si="41"/>
        <v>1.2692999999999999E-2</v>
      </c>
      <c r="U46" s="648"/>
      <c r="V46" s="494"/>
      <c r="W46" s="494"/>
    </row>
    <row r="47" spans="1:23" x14ac:dyDescent="0.25">
      <c r="A47" s="593"/>
      <c r="B47" s="655" t="str">
        <f t="shared" si="40"/>
        <v>Központi Konyha</v>
      </c>
      <c r="C47" s="770">
        <f>+'9. Közp. Konyha'!C29</f>
        <v>5477891.25</v>
      </c>
      <c r="D47" s="647">
        <f>+'9. Közp. Konyha'!D29</f>
        <v>5477891</v>
      </c>
      <c r="E47" s="647">
        <f>+'9. Közp. Konyha'!E29</f>
        <v>5477891</v>
      </c>
      <c r="F47" s="775">
        <f>+'9. Közp. Konyha'!F29</f>
        <v>5689597</v>
      </c>
      <c r="G47" s="647"/>
      <c r="H47" s="770">
        <f>+'9. Közp. Konyha'!H29</f>
        <v>3010560</v>
      </c>
      <c r="I47" s="647">
        <f>+'9. Közp. Konyha'!I29</f>
        <v>4356993</v>
      </c>
      <c r="J47" s="647">
        <f>+'9. Közp. Konyha'!J29</f>
        <v>5689597</v>
      </c>
      <c r="K47" s="647"/>
      <c r="L47" s="776">
        <f t="shared" si="33"/>
        <v>0.54958377229484856</v>
      </c>
      <c r="M47" s="776">
        <f t="shared" si="34"/>
        <v>0.79537781967549193</v>
      </c>
      <c r="N47" s="777">
        <f t="shared" si="35"/>
        <v>1</v>
      </c>
      <c r="O47" s="647"/>
      <c r="P47" s="770">
        <f>+'9. Közp. Konyha'!P29</f>
        <v>-0.25</v>
      </c>
      <c r="Q47" s="647">
        <f>+'9. Közp. Konyha'!Q29</f>
        <v>0</v>
      </c>
      <c r="R47" s="647">
        <f>+'9. Közp. Konyha'!R29</f>
        <v>211706</v>
      </c>
      <c r="S47" s="647">
        <f>+'9. Közp. Konyha'!S29</f>
        <v>211705.75</v>
      </c>
      <c r="T47" s="778">
        <f t="shared" si="41"/>
        <v>3.8647307939893842E-2</v>
      </c>
      <c r="U47" s="648"/>
      <c r="V47" s="494"/>
      <c r="W47" s="494"/>
    </row>
    <row r="48" spans="1:23" ht="8.1" customHeight="1" x14ac:dyDescent="0.25">
      <c r="A48" s="593"/>
      <c r="B48" s="779" t="s">
        <v>455</v>
      </c>
      <c r="C48" s="780"/>
      <c r="D48" s="781"/>
      <c r="E48" s="781"/>
      <c r="F48" s="782"/>
      <c r="G48" s="781"/>
      <c r="H48" s="780"/>
      <c r="I48" s="781"/>
      <c r="J48" s="781"/>
      <c r="K48" s="781"/>
      <c r="L48" s="783"/>
      <c r="M48" s="783"/>
      <c r="N48" s="784"/>
      <c r="O48" s="781"/>
      <c r="P48" s="780"/>
      <c r="Q48" s="781"/>
      <c r="R48" s="781"/>
      <c r="S48" s="781"/>
      <c r="T48" s="785"/>
      <c r="U48" s="648"/>
      <c r="V48" s="494"/>
      <c r="W48" s="494"/>
    </row>
    <row r="49" spans="1:23" x14ac:dyDescent="0.25">
      <c r="A49" s="786" t="str">
        <f>+A40</f>
        <v>K2</v>
      </c>
      <c r="B49" s="787" t="s">
        <v>449</v>
      </c>
      <c r="C49" s="788">
        <f>SUM(C41:C48)</f>
        <v>81571891.25</v>
      </c>
      <c r="D49" s="789">
        <f t="shared" ref="D49:F49" si="42">SUM(D41:D48)</f>
        <v>81571891</v>
      </c>
      <c r="E49" s="789">
        <f t="shared" si="42"/>
        <v>81571891</v>
      </c>
      <c r="F49" s="790">
        <f t="shared" si="42"/>
        <v>83609815</v>
      </c>
      <c r="G49" s="789"/>
      <c r="H49" s="788">
        <f>SUM(H41:H48)</f>
        <v>43217131</v>
      </c>
      <c r="I49" s="789">
        <f t="shared" ref="I49:J49" si="43">SUM(I41:I48)</f>
        <v>64322116</v>
      </c>
      <c r="J49" s="789">
        <f t="shared" si="43"/>
        <v>83597204</v>
      </c>
      <c r="K49" s="789"/>
      <c r="L49" s="791">
        <f t="shared" si="33"/>
        <v>0.52980420669664263</v>
      </c>
      <c r="M49" s="791">
        <f t="shared" si="34"/>
        <v>0.78853285379886562</v>
      </c>
      <c r="N49" s="792">
        <f t="shared" si="35"/>
        <v>0.99984916842597971</v>
      </c>
      <c r="O49" s="789"/>
      <c r="P49" s="788">
        <f>SUM(P41:P48)</f>
        <v>-0.25</v>
      </c>
      <c r="Q49" s="789">
        <f t="shared" ref="Q49:S49" si="44">SUM(Q41:Q48)</f>
        <v>0</v>
      </c>
      <c r="R49" s="789">
        <f t="shared" si="44"/>
        <v>2037924</v>
      </c>
      <c r="S49" s="789">
        <f t="shared" si="44"/>
        <v>2037923.75</v>
      </c>
      <c r="T49" s="793">
        <f t="shared" si="41"/>
        <v>2.4983161708905455E-2</v>
      </c>
      <c r="U49" s="648"/>
      <c r="V49" s="494"/>
      <c r="W49" s="494"/>
    </row>
    <row r="50" spans="1:23" x14ac:dyDescent="0.25">
      <c r="A50" s="593"/>
      <c r="B50" s="593"/>
      <c r="C50" s="770"/>
      <c r="D50" s="648"/>
      <c r="E50" s="648"/>
      <c r="F50" s="771"/>
      <c r="G50" s="648"/>
      <c r="H50" s="770"/>
      <c r="I50" s="653"/>
      <c r="J50" s="653"/>
      <c r="K50" s="648"/>
      <c r="L50" s="776"/>
      <c r="M50" s="776"/>
      <c r="N50" s="777"/>
      <c r="O50" s="648"/>
      <c r="P50" s="770"/>
      <c r="Q50" s="647"/>
      <c r="R50" s="647"/>
      <c r="S50" s="647"/>
      <c r="T50" s="774"/>
      <c r="U50" s="648"/>
      <c r="V50" s="494"/>
      <c r="W50" s="494"/>
    </row>
    <row r="51" spans="1:23" x14ac:dyDescent="0.25">
      <c r="A51" s="593"/>
      <c r="B51" s="593"/>
      <c r="C51" s="770"/>
      <c r="D51" s="648"/>
      <c r="E51" s="648"/>
      <c r="F51" s="771"/>
      <c r="G51" s="648"/>
      <c r="H51" s="770"/>
      <c r="I51" s="653"/>
      <c r="J51" s="653"/>
      <c r="K51" s="648"/>
      <c r="L51" s="776"/>
      <c r="M51" s="776"/>
      <c r="N51" s="777"/>
      <c r="O51" s="648"/>
      <c r="P51" s="770"/>
      <c r="Q51" s="647"/>
      <c r="R51" s="647"/>
      <c r="S51" s="647"/>
      <c r="T51" s="774"/>
      <c r="U51" s="648"/>
      <c r="V51" s="494"/>
      <c r="W51" s="494"/>
    </row>
    <row r="52" spans="1:23" x14ac:dyDescent="0.25">
      <c r="A52" s="656" t="s">
        <v>30</v>
      </c>
      <c r="B52" s="656" t="str">
        <f>+'3. Önk. Kiadások'!B32</f>
        <v>Dologi kiadások</v>
      </c>
      <c r="C52" s="770"/>
      <c r="D52" s="648"/>
      <c r="E52" s="648"/>
      <c r="F52" s="771"/>
      <c r="G52" s="648"/>
      <c r="H52" s="770"/>
      <c r="I52" s="653"/>
      <c r="J52" s="653"/>
      <c r="K52" s="648"/>
      <c r="L52" s="776"/>
      <c r="M52" s="776"/>
      <c r="N52" s="777"/>
      <c r="O52" s="648"/>
      <c r="P52" s="770"/>
      <c r="Q52" s="647"/>
      <c r="R52" s="647"/>
      <c r="S52" s="647"/>
      <c r="T52" s="774"/>
      <c r="U52" s="648"/>
      <c r="V52" s="494"/>
      <c r="W52" s="494"/>
    </row>
    <row r="53" spans="1:23" x14ac:dyDescent="0.25">
      <c r="A53" s="593"/>
      <c r="B53" s="655" t="str">
        <f t="shared" ref="B53:B59" si="45">+B41</f>
        <v>Sülysáp Város Önkormányzata</v>
      </c>
      <c r="C53" s="770">
        <f>+'3. Önk. Kiadások'!C32</f>
        <v>174605000</v>
      </c>
      <c r="D53" s="647">
        <f>+'3. Önk. Kiadások'!D32</f>
        <v>236573262</v>
      </c>
      <c r="E53" s="647">
        <f>+'3. Önk. Kiadások'!E32</f>
        <v>287008017</v>
      </c>
      <c r="F53" s="775">
        <f>+'3. Önk. Kiadások'!F32</f>
        <v>234128960</v>
      </c>
      <c r="G53" s="648"/>
      <c r="H53" s="770">
        <f>+'3. Önk. Kiadások'!H32</f>
        <v>112632892</v>
      </c>
      <c r="I53" s="647">
        <f>+'3. Önk. Kiadások'!I32</f>
        <v>189115933</v>
      </c>
      <c r="J53" s="647">
        <f>+'3. Önk. Kiadások'!J32</f>
        <v>230496644</v>
      </c>
      <c r="K53" s="648"/>
      <c r="L53" s="776">
        <f t="shared" si="33"/>
        <v>0.47610153001990563</v>
      </c>
      <c r="M53" s="776">
        <f t="shared" si="34"/>
        <v>0.65892212690351437</v>
      </c>
      <c r="N53" s="777">
        <f t="shared" si="35"/>
        <v>0.98448583208160156</v>
      </c>
      <c r="O53" s="648"/>
      <c r="P53" s="770">
        <f>+'3. Önk. Kiadások'!P32</f>
        <v>61968262</v>
      </c>
      <c r="Q53" s="647">
        <f>+'3. Önk. Kiadások'!Q32</f>
        <v>50434755</v>
      </c>
      <c r="R53" s="647">
        <f>+'3. Önk. Kiadások'!R32</f>
        <v>-52879057</v>
      </c>
      <c r="S53" s="647">
        <f>+'3. Önk. Kiadások'!S32</f>
        <v>59523960</v>
      </c>
      <c r="T53" s="778">
        <f t="shared" ref="T53:T61" si="46">IF(C53=0,0,+S53/C53)</f>
        <v>0.34090638870593626</v>
      </c>
      <c r="U53" s="648"/>
      <c r="V53" s="494"/>
      <c r="W53" s="494"/>
    </row>
    <row r="54" spans="1:23" x14ac:dyDescent="0.25">
      <c r="A54" s="655"/>
      <c r="B54" s="655" t="str">
        <f t="shared" si="45"/>
        <v>Gondozási Központ</v>
      </c>
      <c r="C54" s="770">
        <f>+'4. Dr Gáspár HSZK'!C32</f>
        <v>10796000</v>
      </c>
      <c r="D54" s="647">
        <f>+'4. Dr Gáspár HSZK'!D32</f>
        <v>10796000</v>
      </c>
      <c r="E54" s="647">
        <f>+'4. Dr Gáspár HSZK'!E32</f>
        <v>10756000</v>
      </c>
      <c r="F54" s="775">
        <f>+'4. Dr Gáspár HSZK'!F32</f>
        <v>9901000</v>
      </c>
      <c r="G54" s="647"/>
      <c r="H54" s="795">
        <f>+'4. Dr Gáspár HSZK'!H32</f>
        <v>5083396</v>
      </c>
      <c r="I54" s="663">
        <f>+'4. Dr Gáspár HSZK'!I32</f>
        <v>6329879</v>
      </c>
      <c r="J54" s="647">
        <f>+'4. Dr Gáspár HSZK'!J32</f>
        <v>8572565</v>
      </c>
      <c r="K54" s="647"/>
      <c r="L54" s="776">
        <f t="shared" si="33"/>
        <v>0.47085920711374585</v>
      </c>
      <c r="M54" s="776">
        <f t="shared" si="34"/>
        <v>0.58849748977314986</v>
      </c>
      <c r="N54" s="777">
        <f t="shared" si="35"/>
        <v>0.86582819917180087</v>
      </c>
      <c r="O54" s="647"/>
      <c r="P54" s="770">
        <f>+'4. Dr Gáspár HSZK'!P32</f>
        <v>0</v>
      </c>
      <c r="Q54" s="647">
        <f>+'4. Dr Gáspár HSZK'!Q32</f>
        <v>-40000</v>
      </c>
      <c r="R54" s="647">
        <f>+'4. Dr Gáspár HSZK'!R32</f>
        <v>-855000</v>
      </c>
      <c r="S54" s="647">
        <f>+'4. Dr Gáspár HSZK'!S32</f>
        <v>-895000</v>
      </c>
      <c r="T54" s="778">
        <f t="shared" si="46"/>
        <v>-8.2901074472026673E-2</v>
      </c>
      <c r="U54" s="648"/>
      <c r="V54" s="494"/>
      <c r="W54" s="494"/>
    </row>
    <row r="55" spans="1:23" x14ac:dyDescent="0.25">
      <c r="A55" s="593"/>
      <c r="B55" s="655" t="str">
        <f t="shared" si="45"/>
        <v>Csicsergő Napköziotthonos Óvoda</v>
      </c>
      <c r="C55" s="770">
        <f>+'5. Csicsergő'!C33</f>
        <v>14085000</v>
      </c>
      <c r="D55" s="647">
        <f>+'5. Csicsergő'!D33</f>
        <v>14085000</v>
      </c>
      <c r="E55" s="647">
        <f>+'5. Csicsergő'!E33</f>
        <v>14085000</v>
      </c>
      <c r="F55" s="775">
        <f>+'5. Csicsergő'!F33</f>
        <v>14397545</v>
      </c>
      <c r="G55" s="647"/>
      <c r="H55" s="770">
        <f>+'5. Csicsergő'!H33</f>
        <v>7026286</v>
      </c>
      <c r="I55" s="647">
        <f>+'5. Csicsergő'!I33</f>
        <v>9465395</v>
      </c>
      <c r="J55" s="647">
        <f>+'5. Csicsergő'!J33</f>
        <v>13465833</v>
      </c>
      <c r="K55" s="647"/>
      <c r="L55" s="776">
        <f t="shared" si="33"/>
        <v>0.49884884629037984</v>
      </c>
      <c r="M55" s="776">
        <f t="shared" si="34"/>
        <v>0.67201952431664891</v>
      </c>
      <c r="N55" s="777">
        <f t="shared" si="35"/>
        <v>0.93528674506660681</v>
      </c>
      <c r="O55" s="647"/>
      <c r="P55" s="770">
        <f>+'5. Csicsergő'!P33</f>
        <v>0</v>
      </c>
      <c r="Q55" s="647">
        <f>+'5. Csicsergő'!Q33</f>
        <v>0</v>
      </c>
      <c r="R55" s="647">
        <f>+'5. Csicsergő'!R33</f>
        <v>312545</v>
      </c>
      <c r="S55" s="647">
        <f>+'5. Csicsergő'!S33</f>
        <v>312545</v>
      </c>
      <c r="T55" s="778">
        <f t="shared" si="46"/>
        <v>2.2189918352857649E-2</v>
      </c>
      <c r="U55" s="648"/>
      <c r="V55" s="494"/>
      <c r="W55" s="494"/>
    </row>
    <row r="56" spans="1:23" x14ac:dyDescent="0.25">
      <c r="A56" s="593"/>
      <c r="B56" s="655" t="str">
        <f t="shared" si="45"/>
        <v>Gólyahír Bőlcsőde</v>
      </c>
      <c r="C56" s="770">
        <f>+'6. Gólyahír'!C32</f>
        <v>11039000</v>
      </c>
      <c r="D56" s="647">
        <f>+'6. Gólyahír'!D32</f>
        <v>11009000</v>
      </c>
      <c r="E56" s="647">
        <f>+'6. Gólyahír'!E32</f>
        <v>10899000</v>
      </c>
      <c r="F56" s="775">
        <f>+'6. Gólyahír'!F32</f>
        <v>9658000</v>
      </c>
      <c r="G56" s="647"/>
      <c r="H56" s="770">
        <f>+'6. Gólyahír'!H32</f>
        <v>3711532</v>
      </c>
      <c r="I56" s="647">
        <f>+'6. Gólyahír'!I32</f>
        <v>5986904</v>
      </c>
      <c r="J56" s="647">
        <f>+'6. Gólyahír'!J32</f>
        <v>9464289</v>
      </c>
      <c r="K56" s="647"/>
      <c r="L56" s="776">
        <f t="shared" si="33"/>
        <v>0.33713616132255425</v>
      </c>
      <c r="M56" s="776">
        <f t="shared" si="34"/>
        <v>0.54930764290301859</v>
      </c>
      <c r="N56" s="777">
        <f t="shared" si="35"/>
        <v>0.97994294885069377</v>
      </c>
      <c r="O56" s="647"/>
      <c r="P56" s="770">
        <f>+'6. Gólyahír'!P32</f>
        <v>-30000</v>
      </c>
      <c r="Q56" s="647">
        <f>+'6. Gólyahír'!Q32</f>
        <v>-110000</v>
      </c>
      <c r="R56" s="647">
        <f>+'6. Gólyahír'!R32</f>
        <v>-1241000</v>
      </c>
      <c r="S56" s="647">
        <f>+'6. Gólyahír'!S32</f>
        <v>-1381000</v>
      </c>
      <c r="T56" s="778">
        <f t="shared" si="46"/>
        <v>-0.12510191140501858</v>
      </c>
      <c r="U56" s="648"/>
      <c r="V56" s="494"/>
      <c r="W56" s="494"/>
    </row>
    <row r="57" spans="1:23" x14ac:dyDescent="0.25">
      <c r="A57" s="593"/>
      <c r="B57" s="655" t="str">
        <f t="shared" si="45"/>
        <v>Polgármesteri Hivatal</v>
      </c>
      <c r="C57" s="770">
        <f>+'7. Polg.Hiv.'!C32</f>
        <v>11532000</v>
      </c>
      <c r="D57" s="647">
        <f>+'7. Polg.Hiv.'!D32</f>
        <v>11532000</v>
      </c>
      <c r="E57" s="647">
        <f>+'7. Polg.Hiv.'!E32</f>
        <v>11122000</v>
      </c>
      <c r="F57" s="775">
        <f>+'7. Polg.Hiv.'!F32</f>
        <v>10625202</v>
      </c>
      <c r="G57" s="647"/>
      <c r="H57" s="770">
        <f>+'7. Polg.Hiv.'!H32</f>
        <v>4243117</v>
      </c>
      <c r="I57" s="647">
        <f>+'7. Polg.Hiv.'!I32</f>
        <v>6915450</v>
      </c>
      <c r="J57" s="647">
        <f>+'7. Polg.Hiv.'!J32</f>
        <v>9325195</v>
      </c>
      <c r="K57" s="647"/>
      <c r="L57" s="776">
        <f t="shared" si="33"/>
        <v>0.36794285466527921</v>
      </c>
      <c r="M57" s="776">
        <f t="shared" si="34"/>
        <v>0.6217811544686207</v>
      </c>
      <c r="N57" s="777">
        <f t="shared" si="35"/>
        <v>0.87764872611363054</v>
      </c>
      <c r="O57" s="647"/>
      <c r="P57" s="770">
        <f>+'7. Polg.Hiv.'!P32</f>
        <v>0</v>
      </c>
      <c r="Q57" s="647">
        <f>+'7. Polg.Hiv.'!Q32</f>
        <v>-410000</v>
      </c>
      <c r="R57" s="647">
        <f>+'7. Polg.Hiv.'!R32</f>
        <v>-496798</v>
      </c>
      <c r="S57" s="647">
        <f>+'7. Polg.Hiv.'!S32</f>
        <v>-906798</v>
      </c>
      <c r="T57" s="778">
        <f t="shared" si="46"/>
        <v>-7.8633194588969821E-2</v>
      </c>
      <c r="U57" s="648"/>
      <c r="V57" s="494"/>
      <c r="W57" s="494"/>
    </row>
    <row r="58" spans="1:23" x14ac:dyDescent="0.25">
      <c r="A58" s="593"/>
      <c r="B58" s="655" t="str">
        <f t="shared" si="45"/>
        <v>Wass Albert Művelődési Központ és Könyvtár</v>
      </c>
      <c r="C58" s="770">
        <f>+'8. WAMKK'!C32</f>
        <v>14315000</v>
      </c>
      <c r="D58" s="647">
        <f>+'8. WAMKK'!D32</f>
        <v>14315000</v>
      </c>
      <c r="E58" s="647">
        <f>+'8. WAMKK'!E32</f>
        <v>14128800</v>
      </c>
      <c r="F58" s="775">
        <f>+'8. WAMKK'!F32</f>
        <v>10323466</v>
      </c>
      <c r="G58" s="647"/>
      <c r="H58" s="770">
        <f>+'8. WAMKK'!H32</f>
        <v>5269280</v>
      </c>
      <c r="I58" s="647">
        <f>+'8. WAMKK'!I32</f>
        <v>7723776</v>
      </c>
      <c r="J58" s="647">
        <f>+'8. WAMKK'!J32</f>
        <v>9994116</v>
      </c>
      <c r="K58" s="647"/>
      <c r="L58" s="776">
        <f t="shared" si="33"/>
        <v>0.36809500523925953</v>
      </c>
      <c r="M58" s="776">
        <f t="shared" si="34"/>
        <v>0.54666893154408014</v>
      </c>
      <c r="N58" s="777">
        <f t="shared" si="35"/>
        <v>0.96809695503428794</v>
      </c>
      <c r="O58" s="647"/>
      <c r="P58" s="770">
        <f>+'8. WAMKK'!P32</f>
        <v>0</v>
      </c>
      <c r="Q58" s="647">
        <f>+'8. WAMKK'!Q32</f>
        <v>-186200</v>
      </c>
      <c r="R58" s="647">
        <f>+'8. WAMKK'!R32</f>
        <v>-3805334</v>
      </c>
      <c r="S58" s="647">
        <f>+'8. WAMKK'!S32</f>
        <v>-3991534</v>
      </c>
      <c r="T58" s="778">
        <f t="shared" si="46"/>
        <v>-0.27883576667830945</v>
      </c>
      <c r="U58" s="648"/>
      <c r="V58" s="494"/>
      <c r="W58" s="494"/>
    </row>
    <row r="59" spans="1:23" x14ac:dyDescent="0.25">
      <c r="A59" s="593"/>
      <c r="B59" s="655" t="str">
        <f t="shared" si="45"/>
        <v>Központi Konyha</v>
      </c>
      <c r="C59" s="770">
        <f>+'9. Közp. Konyha'!C32</f>
        <v>67166000</v>
      </c>
      <c r="D59" s="647">
        <f>+'9. Közp. Konyha'!D32</f>
        <v>67119689</v>
      </c>
      <c r="E59" s="647">
        <f>+'9. Közp. Konyha'!E32</f>
        <v>66912132</v>
      </c>
      <c r="F59" s="775">
        <f>+'9. Közp. Konyha'!F32</f>
        <v>69412132</v>
      </c>
      <c r="G59" s="647"/>
      <c r="H59" s="770">
        <f>+'9. Közp. Konyha'!H32</f>
        <v>35894094</v>
      </c>
      <c r="I59" s="647">
        <f>+'9. Közp. Konyha'!I32</f>
        <v>44860861</v>
      </c>
      <c r="J59" s="647">
        <f>+'9. Közp. Konyha'!J32</f>
        <v>64745473</v>
      </c>
      <c r="K59" s="647"/>
      <c r="L59" s="776">
        <f t="shared" si="33"/>
        <v>0.53477741829226888</v>
      </c>
      <c r="M59" s="776">
        <f t="shared" si="34"/>
        <v>0.6704443523037048</v>
      </c>
      <c r="N59" s="777">
        <f t="shared" si="35"/>
        <v>0.93276882778935533</v>
      </c>
      <c r="O59" s="647"/>
      <c r="P59" s="770">
        <f>+'9. Közp. Konyha'!P32</f>
        <v>-46311</v>
      </c>
      <c r="Q59" s="647">
        <f>+'9. Közp. Konyha'!Q32</f>
        <v>-207557</v>
      </c>
      <c r="R59" s="647">
        <f>+'9. Közp. Konyha'!R32</f>
        <v>2500000</v>
      </c>
      <c r="S59" s="647">
        <f>+'9. Közp. Konyha'!S32</f>
        <v>2246132</v>
      </c>
      <c r="T59" s="778">
        <f t="shared" si="46"/>
        <v>3.3441503141470388E-2</v>
      </c>
      <c r="U59" s="648"/>
      <c r="V59" s="494"/>
      <c r="W59" s="494"/>
    </row>
    <row r="60" spans="1:23" ht="8.1" customHeight="1" x14ac:dyDescent="0.25">
      <c r="A60" s="593"/>
      <c r="B60" s="779" t="s">
        <v>455</v>
      </c>
      <c r="C60" s="780"/>
      <c r="D60" s="781"/>
      <c r="E60" s="781"/>
      <c r="F60" s="782"/>
      <c r="G60" s="781"/>
      <c r="H60" s="780"/>
      <c r="I60" s="781"/>
      <c r="J60" s="781"/>
      <c r="K60" s="781"/>
      <c r="L60" s="783"/>
      <c r="M60" s="783"/>
      <c r="N60" s="784"/>
      <c r="O60" s="781"/>
      <c r="P60" s="780"/>
      <c r="Q60" s="781"/>
      <c r="R60" s="781"/>
      <c r="S60" s="781"/>
      <c r="T60" s="785"/>
      <c r="U60" s="648"/>
      <c r="V60" s="494"/>
      <c r="W60" s="494"/>
    </row>
    <row r="61" spans="1:23" x14ac:dyDescent="0.25">
      <c r="A61" s="786" t="str">
        <f>+A52</f>
        <v>K3</v>
      </c>
      <c r="B61" s="787" t="s">
        <v>449</v>
      </c>
      <c r="C61" s="788">
        <f>SUM(C53:C60)</f>
        <v>303538000</v>
      </c>
      <c r="D61" s="789">
        <f t="shared" ref="D61:F61" si="47">SUM(D53:D60)</f>
        <v>365429951</v>
      </c>
      <c r="E61" s="789">
        <f t="shared" si="47"/>
        <v>414910949</v>
      </c>
      <c r="F61" s="790">
        <f t="shared" si="47"/>
        <v>358446305</v>
      </c>
      <c r="G61" s="789"/>
      <c r="H61" s="788">
        <f>SUM(H53:H60)</f>
        <v>173860597</v>
      </c>
      <c r="I61" s="789">
        <f t="shared" ref="I61:J61" si="48">SUM(I53:I60)</f>
        <v>270398198</v>
      </c>
      <c r="J61" s="789">
        <f t="shared" si="48"/>
        <v>346064115</v>
      </c>
      <c r="K61" s="789"/>
      <c r="L61" s="791">
        <f t="shared" si="33"/>
        <v>0.47576997048060793</v>
      </c>
      <c r="M61" s="791">
        <f t="shared" si="34"/>
        <v>0.6517017655275229</v>
      </c>
      <c r="N61" s="792">
        <f t="shared" si="35"/>
        <v>0.96545594185996697</v>
      </c>
      <c r="O61" s="789"/>
      <c r="P61" s="788">
        <f>SUM(P53:P60)</f>
        <v>61891951</v>
      </c>
      <c r="Q61" s="789">
        <f t="shared" ref="Q61:S61" si="49">SUM(Q53:Q60)</f>
        <v>49480998</v>
      </c>
      <c r="R61" s="789">
        <f t="shared" si="49"/>
        <v>-56464644</v>
      </c>
      <c r="S61" s="789">
        <f t="shared" si="49"/>
        <v>54908305</v>
      </c>
      <c r="T61" s="793">
        <f t="shared" si="46"/>
        <v>0.18089433612924904</v>
      </c>
      <c r="U61" s="648"/>
      <c r="V61" s="494"/>
      <c r="W61" s="494"/>
    </row>
    <row r="62" spans="1:23" x14ac:dyDescent="0.25">
      <c r="A62" s="593"/>
      <c r="B62" s="593"/>
      <c r="C62" s="770"/>
      <c r="D62" s="648"/>
      <c r="E62" s="648"/>
      <c r="F62" s="771"/>
      <c r="G62" s="648"/>
      <c r="H62" s="770"/>
      <c r="I62" s="653"/>
      <c r="J62" s="653"/>
      <c r="K62" s="648"/>
      <c r="L62" s="776"/>
      <c r="M62" s="776"/>
      <c r="N62" s="777"/>
      <c r="O62" s="648"/>
      <c r="P62" s="770"/>
      <c r="Q62" s="647"/>
      <c r="R62" s="647"/>
      <c r="S62" s="647"/>
      <c r="T62" s="794"/>
      <c r="U62" s="648"/>
      <c r="V62" s="494"/>
      <c r="W62" s="494"/>
    </row>
    <row r="63" spans="1:23" x14ac:dyDescent="0.25">
      <c r="A63" s="593"/>
      <c r="B63" s="593"/>
      <c r="C63" s="770"/>
      <c r="D63" s="648"/>
      <c r="E63" s="648"/>
      <c r="F63" s="771"/>
      <c r="G63" s="648"/>
      <c r="H63" s="770"/>
      <c r="I63" s="653"/>
      <c r="J63" s="653"/>
      <c r="K63" s="648"/>
      <c r="L63" s="776"/>
      <c r="M63" s="776"/>
      <c r="N63" s="777"/>
      <c r="O63" s="648"/>
      <c r="P63" s="770"/>
      <c r="Q63" s="647"/>
      <c r="R63" s="647"/>
      <c r="S63" s="647"/>
      <c r="T63" s="794"/>
      <c r="U63" s="648"/>
      <c r="V63" s="494"/>
      <c r="W63" s="494"/>
    </row>
    <row r="64" spans="1:23" x14ac:dyDescent="0.25">
      <c r="A64" s="656" t="s">
        <v>112</v>
      </c>
      <c r="B64" s="656" t="str">
        <f>+'3. Önk. Kiadások'!B81</f>
        <v>Elláttotak pénzpeli juttatásai</v>
      </c>
      <c r="C64" s="770"/>
      <c r="D64" s="648"/>
      <c r="E64" s="648"/>
      <c r="F64" s="771"/>
      <c r="G64" s="648"/>
      <c r="H64" s="770"/>
      <c r="I64" s="653"/>
      <c r="J64" s="653"/>
      <c r="K64" s="648"/>
      <c r="L64" s="776"/>
      <c r="M64" s="776"/>
      <c r="N64" s="777"/>
      <c r="O64" s="648"/>
      <c r="P64" s="770"/>
      <c r="Q64" s="647"/>
      <c r="R64" s="647"/>
      <c r="S64" s="647"/>
      <c r="T64" s="794"/>
      <c r="U64" s="648"/>
      <c r="V64" s="494"/>
      <c r="W64" s="494"/>
    </row>
    <row r="65" spans="1:23" x14ac:dyDescent="0.25">
      <c r="A65" s="593"/>
      <c r="B65" s="655" t="str">
        <f t="shared" ref="B65:B71" si="50">+B53</f>
        <v>Sülysáp Város Önkormányzata</v>
      </c>
      <c r="C65" s="770">
        <f>+'3. Önk. Kiadások'!C81</f>
        <v>22100000</v>
      </c>
      <c r="D65" s="647">
        <f>+'3. Önk. Kiadások'!D81</f>
        <v>23100000</v>
      </c>
      <c r="E65" s="647">
        <f>+'3. Önk. Kiadások'!E81</f>
        <v>24100000</v>
      </c>
      <c r="F65" s="775">
        <f>+'3. Önk. Kiadások'!F81</f>
        <v>23324501</v>
      </c>
      <c r="G65" s="648"/>
      <c r="H65" s="770">
        <f>+'3. Önk. Kiadások'!H81</f>
        <v>12463530</v>
      </c>
      <c r="I65" s="647">
        <f>+'3. Önk. Kiadások'!I81</f>
        <v>17751990</v>
      </c>
      <c r="J65" s="647">
        <f>+'3. Önk. Kiadások'!J81</f>
        <v>22054410</v>
      </c>
      <c r="K65" s="648"/>
      <c r="L65" s="776">
        <f t="shared" si="33"/>
        <v>0.53954675324675327</v>
      </c>
      <c r="M65" s="776">
        <f t="shared" si="34"/>
        <v>0.73659709543568463</v>
      </c>
      <c r="N65" s="777">
        <f t="shared" si="35"/>
        <v>0.94554691652353029</v>
      </c>
      <c r="O65" s="648"/>
      <c r="P65" s="770">
        <f>+'3. Önk. Kiadások'!P81</f>
        <v>1000000</v>
      </c>
      <c r="Q65" s="647">
        <f>+'3. Önk. Kiadások'!Q81</f>
        <v>1000000</v>
      </c>
      <c r="R65" s="647">
        <f>+'3. Önk. Kiadások'!R81</f>
        <v>-775499</v>
      </c>
      <c r="S65" s="647">
        <f>+'3. Önk. Kiadások'!S81</f>
        <v>1224501</v>
      </c>
      <c r="T65" s="778">
        <f t="shared" ref="T65:T73" si="51">IF(C65=0,0,+S65/C65)</f>
        <v>5.5407285067873305E-2</v>
      </c>
      <c r="U65" s="648"/>
      <c r="V65" s="494"/>
      <c r="W65" s="494"/>
    </row>
    <row r="66" spans="1:23" x14ac:dyDescent="0.25">
      <c r="A66" s="655"/>
      <c r="B66" s="655" t="str">
        <f t="shared" si="50"/>
        <v>Gondozási Központ</v>
      </c>
      <c r="C66" s="770"/>
      <c r="D66" s="647"/>
      <c r="E66" s="647"/>
      <c r="F66" s="775"/>
      <c r="G66" s="647"/>
      <c r="H66" s="770"/>
      <c r="I66" s="647"/>
      <c r="J66" s="647"/>
      <c r="K66" s="647"/>
      <c r="L66" s="776">
        <f t="shared" si="33"/>
        <v>0</v>
      </c>
      <c r="M66" s="776">
        <f t="shared" si="34"/>
        <v>0</v>
      </c>
      <c r="N66" s="777">
        <f t="shared" si="35"/>
        <v>0</v>
      </c>
      <c r="O66" s="647"/>
      <c r="P66" s="770"/>
      <c r="Q66" s="647"/>
      <c r="R66" s="647"/>
      <c r="S66" s="647"/>
      <c r="T66" s="778">
        <f t="shared" si="51"/>
        <v>0</v>
      </c>
      <c r="U66" s="648"/>
      <c r="V66" s="494"/>
      <c r="W66" s="494"/>
    </row>
    <row r="67" spans="1:23" x14ac:dyDescent="0.25">
      <c r="A67" s="593"/>
      <c r="B67" s="655" t="str">
        <f t="shared" si="50"/>
        <v>Csicsergő Napköziotthonos Óvoda</v>
      </c>
      <c r="C67" s="770"/>
      <c r="D67" s="647"/>
      <c r="E67" s="647"/>
      <c r="F67" s="775"/>
      <c r="G67" s="647"/>
      <c r="H67" s="770"/>
      <c r="I67" s="647"/>
      <c r="J67" s="647"/>
      <c r="K67" s="647"/>
      <c r="L67" s="776">
        <f t="shared" si="33"/>
        <v>0</v>
      </c>
      <c r="M67" s="776">
        <f t="shared" si="34"/>
        <v>0</v>
      </c>
      <c r="N67" s="777">
        <f t="shared" si="35"/>
        <v>0</v>
      </c>
      <c r="O67" s="647"/>
      <c r="P67" s="770"/>
      <c r="Q67" s="647"/>
      <c r="R67" s="647"/>
      <c r="S67" s="647"/>
      <c r="T67" s="778">
        <f t="shared" si="51"/>
        <v>0</v>
      </c>
      <c r="U67" s="648"/>
      <c r="V67" s="494"/>
      <c r="W67" s="494"/>
    </row>
    <row r="68" spans="1:23" x14ac:dyDescent="0.25">
      <c r="A68" s="593"/>
      <c r="B68" s="655" t="str">
        <f t="shared" si="50"/>
        <v>Gólyahír Bőlcsőde</v>
      </c>
      <c r="C68" s="770"/>
      <c r="D68" s="647"/>
      <c r="E68" s="647"/>
      <c r="F68" s="775"/>
      <c r="G68" s="647"/>
      <c r="H68" s="770"/>
      <c r="I68" s="647"/>
      <c r="J68" s="647"/>
      <c r="K68" s="647"/>
      <c r="L68" s="776">
        <f t="shared" si="33"/>
        <v>0</v>
      </c>
      <c r="M68" s="776">
        <f t="shared" si="34"/>
        <v>0</v>
      </c>
      <c r="N68" s="777">
        <f t="shared" si="35"/>
        <v>0</v>
      </c>
      <c r="O68" s="647"/>
      <c r="P68" s="770"/>
      <c r="Q68" s="647"/>
      <c r="R68" s="647"/>
      <c r="S68" s="647"/>
      <c r="T68" s="778">
        <f t="shared" si="51"/>
        <v>0</v>
      </c>
      <c r="U68" s="648"/>
      <c r="V68" s="494"/>
      <c r="W68" s="494"/>
    </row>
    <row r="69" spans="1:23" x14ac:dyDescent="0.25">
      <c r="A69" s="593"/>
      <c r="B69" s="655" t="str">
        <f t="shared" si="50"/>
        <v>Polgármesteri Hivatal</v>
      </c>
      <c r="C69" s="770"/>
      <c r="D69" s="647"/>
      <c r="E69" s="647"/>
      <c r="F69" s="775"/>
      <c r="G69" s="647"/>
      <c r="H69" s="770"/>
      <c r="I69" s="647"/>
      <c r="J69" s="647"/>
      <c r="K69" s="647"/>
      <c r="L69" s="776">
        <f t="shared" si="33"/>
        <v>0</v>
      </c>
      <c r="M69" s="776">
        <f t="shared" si="34"/>
        <v>0</v>
      </c>
      <c r="N69" s="777">
        <f t="shared" si="35"/>
        <v>0</v>
      </c>
      <c r="O69" s="647"/>
      <c r="P69" s="770"/>
      <c r="Q69" s="647"/>
      <c r="R69" s="647"/>
      <c r="S69" s="647"/>
      <c r="T69" s="778">
        <f t="shared" si="51"/>
        <v>0</v>
      </c>
      <c r="U69" s="648"/>
      <c r="V69" s="494"/>
      <c r="W69" s="494"/>
    </row>
    <row r="70" spans="1:23" x14ac:dyDescent="0.25">
      <c r="A70" s="593"/>
      <c r="B70" s="655" t="str">
        <f t="shared" si="50"/>
        <v>Wass Albert Művelődési Központ és Könyvtár</v>
      </c>
      <c r="C70" s="770"/>
      <c r="D70" s="647"/>
      <c r="E70" s="647"/>
      <c r="F70" s="775"/>
      <c r="G70" s="647"/>
      <c r="H70" s="770"/>
      <c r="I70" s="647"/>
      <c r="J70" s="647"/>
      <c r="K70" s="647"/>
      <c r="L70" s="776">
        <f t="shared" si="33"/>
        <v>0</v>
      </c>
      <c r="M70" s="776">
        <f t="shared" si="34"/>
        <v>0</v>
      </c>
      <c r="N70" s="777">
        <f t="shared" si="35"/>
        <v>0</v>
      </c>
      <c r="O70" s="647"/>
      <c r="P70" s="770"/>
      <c r="Q70" s="647"/>
      <c r="R70" s="647"/>
      <c r="S70" s="647"/>
      <c r="T70" s="778">
        <f t="shared" si="51"/>
        <v>0</v>
      </c>
      <c r="U70" s="648"/>
      <c r="V70" s="494"/>
      <c r="W70" s="494"/>
    </row>
    <row r="71" spans="1:23" x14ac:dyDescent="0.25">
      <c r="A71" s="593"/>
      <c r="B71" s="655" t="str">
        <f t="shared" si="50"/>
        <v>Központi Konyha</v>
      </c>
      <c r="C71" s="770"/>
      <c r="D71" s="647"/>
      <c r="E71" s="647"/>
      <c r="F71" s="775"/>
      <c r="G71" s="647"/>
      <c r="H71" s="770"/>
      <c r="I71" s="647"/>
      <c r="J71" s="647"/>
      <c r="K71" s="647"/>
      <c r="L71" s="776">
        <f t="shared" si="33"/>
        <v>0</v>
      </c>
      <c r="M71" s="776">
        <f t="shared" si="34"/>
        <v>0</v>
      </c>
      <c r="N71" s="777">
        <f t="shared" si="35"/>
        <v>0</v>
      </c>
      <c r="O71" s="647"/>
      <c r="P71" s="770"/>
      <c r="Q71" s="647"/>
      <c r="R71" s="647"/>
      <c r="S71" s="647"/>
      <c r="T71" s="778">
        <f t="shared" si="51"/>
        <v>0</v>
      </c>
      <c r="U71" s="648"/>
      <c r="V71" s="494"/>
      <c r="W71" s="494"/>
    </row>
    <row r="72" spans="1:23" ht="8.1" customHeight="1" x14ac:dyDescent="0.25">
      <c r="A72" s="593"/>
      <c r="B72" s="779" t="s">
        <v>455</v>
      </c>
      <c r="C72" s="780"/>
      <c r="D72" s="781"/>
      <c r="E72" s="781"/>
      <c r="F72" s="782"/>
      <c r="G72" s="781"/>
      <c r="H72" s="780"/>
      <c r="I72" s="781"/>
      <c r="J72" s="781"/>
      <c r="K72" s="781"/>
      <c r="L72" s="783"/>
      <c r="M72" s="783"/>
      <c r="N72" s="784"/>
      <c r="O72" s="781"/>
      <c r="P72" s="780"/>
      <c r="Q72" s="781"/>
      <c r="R72" s="781"/>
      <c r="S72" s="781"/>
      <c r="T72" s="785"/>
      <c r="U72" s="648"/>
      <c r="V72" s="494"/>
      <c r="W72" s="494"/>
    </row>
    <row r="73" spans="1:23" x14ac:dyDescent="0.25">
      <c r="A73" s="786" t="str">
        <f>+A64</f>
        <v>K4</v>
      </c>
      <c r="B73" s="787" t="s">
        <v>449</v>
      </c>
      <c r="C73" s="788">
        <f>SUM(C65:C72)</f>
        <v>22100000</v>
      </c>
      <c r="D73" s="789">
        <f t="shared" ref="D73:F73" si="52">SUM(D65:D72)</f>
        <v>23100000</v>
      </c>
      <c r="E73" s="789">
        <f t="shared" si="52"/>
        <v>24100000</v>
      </c>
      <c r="F73" s="790">
        <f t="shared" si="52"/>
        <v>23324501</v>
      </c>
      <c r="G73" s="789"/>
      <c r="H73" s="788">
        <f>SUM(H65:H72)</f>
        <v>12463530</v>
      </c>
      <c r="I73" s="789">
        <f t="shared" ref="I73:J73" si="53">SUM(I65:I72)</f>
        <v>17751990</v>
      </c>
      <c r="J73" s="789">
        <f t="shared" si="53"/>
        <v>22054410</v>
      </c>
      <c r="K73" s="789"/>
      <c r="L73" s="791">
        <f t="shared" si="33"/>
        <v>0.53954675324675327</v>
      </c>
      <c r="M73" s="791">
        <f t="shared" si="34"/>
        <v>0.73659709543568463</v>
      </c>
      <c r="N73" s="792">
        <f t="shared" si="35"/>
        <v>0.94554691652353029</v>
      </c>
      <c r="O73" s="789"/>
      <c r="P73" s="788">
        <f>SUM(P65:P72)</f>
        <v>1000000</v>
      </c>
      <c r="Q73" s="789">
        <f t="shared" ref="Q73:S73" si="54">SUM(Q65:Q72)</f>
        <v>1000000</v>
      </c>
      <c r="R73" s="789">
        <f t="shared" si="54"/>
        <v>-775499</v>
      </c>
      <c r="S73" s="789">
        <f t="shared" si="54"/>
        <v>1224501</v>
      </c>
      <c r="T73" s="793">
        <f t="shared" si="51"/>
        <v>5.5407285067873305E-2</v>
      </c>
      <c r="U73" s="648"/>
      <c r="V73" s="494"/>
      <c r="W73" s="494"/>
    </row>
    <row r="74" spans="1:23" x14ac:dyDescent="0.25">
      <c r="A74" s="593"/>
      <c r="B74" s="593"/>
      <c r="C74" s="796"/>
      <c r="D74" s="653"/>
      <c r="E74" s="653"/>
      <c r="F74" s="797"/>
      <c r="G74" s="653"/>
      <c r="H74" s="796"/>
      <c r="I74" s="653"/>
      <c r="J74" s="653"/>
      <c r="K74" s="653"/>
      <c r="L74" s="776"/>
      <c r="M74" s="776"/>
      <c r="N74" s="777"/>
      <c r="O74" s="653"/>
      <c r="P74" s="796"/>
      <c r="Q74" s="593"/>
      <c r="R74" s="593"/>
      <c r="S74" s="593"/>
      <c r="T74" s="774"/>
      <c r="U74" s="653"/>
      <c r="V74" s="494"/>
      <c r="W74" s="494"/>
    </row>
    <row r="75" spans="1:23" x14ac:dyDescent="0.25">
      <c r="A75" s="593"/>
      <c r="B75" s="593"/>
      <c r="C75" s="796"/>
      <c r="D75" s="653"/>
      <c r="E75" s="653"/>
      <c r="F75" s="797"/>
      <c r="G75" s="653"/>
      <c r="H75" s="796"/>
      <c r="I75" s="653"/>
      <c r="J75" s="653"/>
      <c r="K75" s="653"/>
      <c r="L75" s="776"/>
      <c r="M75" s="776"/>
      <c r="N75" s="777"/>
      <c r="O75" s="653"/>
      <c r="P75" s="796"/>
      <c r="Q75" s="593"/>
      <c r="R75" s="593"/>
      <c r="S75" s="593"/>
      <c r="T75" s="774"/>
      <c r="U75" s="653"/>
      <c r="V75" s="494"/>
      <c r="W75" s="494"/>
    </row>
    <row r="76" spans="1:23" x14ac:dyDescent="0.25">
      <c r="A76" s="656" t="s">
        <v>378</v>
      </c>
      <c r="B76" s="656" t="str">
        <f>+'3. Önk. Kiadások'!B106</f>
        <v>Egyéb működési célú kiadások</v>
      </c>
      <c r="C76" s="770"/>
      <c r="D76" s="648"/>
      <c r="E76" s="648"/>
      <c r="F76" s="771"/>
      <c r="G76" s="648"/>
      <c r="H76" s="770"/>
      <c r="I76" s="653"/>
      <c r="J76" s="653"/>
      <c r="K76" s="648"/>
      <c r="L76" s="776"/>
      <c r="M76" s="776"/>
      <c r="N76" s="777"/>
      <c r="O76" s="648"/>
      <c r="P76" s="770"/>
      <c r="Q76" s="647"/>
      <c r="R76" s="647"/>
      <c r="S76" s="647"/>
      <c r="T76" s="774"/>
      <c r="U76" s="648"/>
      <c r="V76" s="494"/>
      <c r="W76" s="494"/>
    </row>
    <row r="77" spans="1:23" x14ac:dyDescent="0.25">
      <c r="A77" s="593"/>
      <c r="B77" s="655" t="str">
        <f t="shared" ref="B77:B83" si="55">+B65</f>
        <v>Sülysáp Város Önkormányzata</v>
      </c>
      <c r="C77" s="770">
        <f>+'3. Önk. Kiadások'!C106</f>
        <v>126531257</v>
      </c>
      <c r="D77" s="647">
        <f>+'3. Önk. Kiadások'!D106</f>
        <v>127250158</v>
      </c>
      <c r="E77" s="647">
        <f>+'3. Önk. Kiadások'!E106</f>
        <v>127700158</v>
      </c>
      <c r="F77" s="775">
        <f>+'3. Önk. Kiadások'!F106</f>
        <v>145312407</v>
      </c>
      <c r="G77" s="648"/>
      <c r="H77" s="770">
        <f>+'3. Önk. Kiadások'!H106</f>
        <v>87541344</v>
      </c>
      <c r="I77" s="647">
        <f>+'3. Önk. Kiadások'!I106</f>
        <v>99005461</v>
      </c>
      <c r="J77" s="647">
        <f>+'3. Önk. Kiadások'!J106</f>
        <v>130328150</v>
      </c>
      <c r="K77" s="648"/>
      <c r="L77" s="776">
        <f t="shared" si="33"/>
        <v>0.68794683932730361</v>
      </c>
      <c r="M77" s="776">
        <f t="shared" si="34"/>
        <v>0.77529630777747349</v>
      </c>
      <c r="N77" s="777">
        <f t="shared" si="35"/>
        <v>0.89688246647789682</v>
      </c>
      <c r="O77" s="648"/>
      <c r="P77" s="770">
        <f>+'3. Önk. Kiadások'!P106</f>
        <v>718901</v>
      </c>
      <c r="Q77" s="647">
        <f>+'3. Önk. Kiadások'!Q106</f>
        <v>450000</v>
      </c>
      <c r="R77" s="647">
        <f>+'3. Önk. Kiadások'!R106</f>
        <v>17612249</v>
      </c>
      <c r="S77" s="647">
        <f>+'3. Önk. Kiadások'!S106</f>
        <v>18781150</v>
      </c>
      <c r="T77" s="778">
        <f t="shared" ref="T77:T85" si="56">IF(C77=0,0,+S77/C77)</f>
        <v>0.14843091300357508</v>
      </c>
      <c r="U77" s="648"/>
      <c r="V77" s="494"/>
      <c r="W77" s="494"/>
    </row>
    <row r="78" spans="1:23" x14ac:dyDescent="0.25">
      <c r="A78" s="655"/>
      <c r="B78" s="655" t="str">
        <f t="shared" si="55"/>
        <v>Gondozási Központ</v>
      </c>
      <c r="C78" s="770"/>
      <c r="D78" s="647"/>
      <c r="E78" s="647"/>
      <c r="F78" s="775"/>
      <c r="G78" s="647"/>
      <c r="H78" s="770"/>
      <c r="I78" s="647"/>
      <c r="J78" s="647"/>
      <c r="K78" s="647"/>
      <c r="L78" s="776">
        <f t="shared" si="33"/>
        <v>0</v>
      </c>
      <c r="M78" s="776">
        <f t="shared" si="34"/>
        <v>0</v>
      </c>
      <c r="N78" s="777">
        <f t="shared" si="35"/>
        <v>0</v>
      </c>
      <c r="O78" s="647"/>
      <c r="P78" s="770"/>
      <c r="Q78" s="647"/>
      <c r="R78" s="647"/>
      <c r="S78" s="647"/>
      <c r="T78" s="778">
        <f t="shared" si="56"/>
        <v>0</v>
      </c>
      <c r="U78" s="648"/>
      <c r="V78" s="494"/>
      <c r="W78" s="494"/>
    </row>
    <row r="79" spans="1:23" x14ac:dyDescent="0.25">
      <c r="A79" s="593"/>
      <c r="B79" s="655" t="str">
        <f t="shared" si="55"/>
        <v>Csicsergő Napköziotthonos Óvoda</v>
      </c>
      <c r="C79" s="770"/>
      <c r="D79" s="647"/>
      <c r="E79" s="647"/>
      <c r="F79" s="775"/>
      <c r="G79" s="647"/>
      <c r="H79" s="770"/>
      <c r="I79" s="647"/>
      <c r="J79" s="647"/>
      <c r="K79" s="647"/>
      <c r="L79" s="776">
        <f t="shared" si="33"/>
        <v>0</v>
      </c>
      <c r="M79" s="776">
        <f t="shared" si="34"/>
        <v>0</v>
      </c>
      <c r="N79" s="777">
        <f t="shared" si="35"/>
        <v>0</v>
      </c>
      <c r="O79" s="647"/>
      <c r="P79" s="770"/>
      <c r="Q79" s="647"/>
      <c r="R79" s="647"/>
      <c r="S79" s="647"/>
      <c r="T79" s="778">
        <f t="shared" si="56"/>
        <v>0</v>
      </c>
      <c r="U79" s="648"/>
      <c r="V79" s="494"/>
      <c r="W79" s="494"/>
    </row>
    <row r="80" spans="1:23" x14ac:dyDescent="0.25">
      <c r="A80" s="593"/>
      <c r="B80" s="655" t="str">
        <f t="shared" si="55"/>
        <v>Gólyahír Bőlcsőde</v>
      </c>
      <c r="C80" s="770"/>
      <c r="D80" s="647"/>
      <c r="E80" s="647"/>
      <c r="F80" s="775"/>
      <c r="G80" s="647"/>
      <c r="H80" s="770"/>
      <c r="I80" s="647"/>
      <c r="J80" s="647"/>
      <c r="K80" s="647"/>
      <c r="L80" s="776">
        <f t="shared" si="33"/>
        <v>0</v>
      </c>
      <c r="M80" s="776">
        <f t="shared" si="34"/>
        <v>0</v>
      </c>
      <c r="N80" s="777">
        <f t="shared" si="35"/>
        <v>0</v>
      </c>
      <c r="O80" s="647"/>
      <c r="P80" s="770"/>
      <c r="Q80" s="647"/>
      <c r="R80" s="647"/>
      <c r="S80" s="647"/>
      <c r="T80" s="778">
        <f t="shared" si="56"/>
        <v>0</v>
      </c>
      <c r="U80" s="648"/>
      <c r="V80" s="494"/>
      <c r="W80" s="494"/>
    </row>
    <row r="81" spans="1:23" x14ac:dyDescent="0.25">
      <c r="A81" s="593"/>
      <c r="B81" s="655" t="str">
        <f t="shared" si="55"/>
        <v>Polgármesteri Hivatal</v>
      </c>
      <c r="C81" s="770"/>
      <c r="D81" s="647"/>
      <c r="E81" s="647"/>
      <c r="F81" s="775"/>
      <c r="G81" s="647"/>
      <c r="H81" s="770"/>
      <c r="I81" s="647"/>
      <c r="J81" s="647"/>
      <c r="K81" s="647"/>
      <c r="L81" s="776">
        <f t="shared" si="33"/>
        <v>0</v>
      </c>
      <c r="M81" s="776">
        <f t="shared" si="34"/>
        <v>0</v>
      </c>
      <c r="N81" s="777">
        <f t="shared" si="35"/>
        <v>0</v>
      </c>
      <c r="O81" s="647"/>
      <c r="P81" s="770"/>
      <c r="Q81" s="647"/>
      <c r="R81" s="647"/>
      <c r="S81" s="647"/>
      <c r="T81" s="778">
        <f t="shared" si="56"/>
        <v>0</v>
      </c>
      <c r="U81" s="648"/>
      <c r="V81" s="494"/>
      <c r="W81" s="494"/>
    </row>
    <row r="82" spans="1:23" x14ac:dyDescent="0.25">
      <c r="A82" s="593"/>
      <c r="B82" s="655" t="str">
        <f t="shared" si="55"/>
        <v>Wass Albert Művelődési Központ és Könyvtár</v>
      </c>
      <c r="C82" s="770"/>
      <c r="D82" s="647"/>
      <c r="E82" s="647"/>
      <c r="F82" s="775"/>
      <c r="G82" s="647"/>
      <c r="H82" s="770"/>
      <c r="I82" s="647"/>
      <c r="J82" s="647"/>
      <c r="K82" s="647"/>
      <c r="L82" s="776">
        <f t="shared" si="33"/>
        <v>0</v>
      </c>
      <c r="M82" s="776">
        <f t="shared" si="34"/>
        <v>0</v>
      </c>
      <c r="N82" s="777">
        <f t="shared" si="35"/>
        <v>0</v>
      </c>
      <c r="O82" s="647"/>
      <c r="P82" s="770"/>
      <c r="Q82" s="647"/>
      <c r="R82" s="647"/>
      <c r="S82" s="647"/>
      <c r="T82" s="778">
        <f t="shared" si="56"/>
        <v>0</v>
      </c>
      <c r="U82" s="648"/>
      <c r="V82" s="494"/>
      <c r="W82" s="494"/>
    </row>
    <row r="83" spans="1:23" x14ac:dyDescent="0.25">
      <c r="A83" s="593"/>
      <c r="B83" s="655" t="str">
        <f t="shared" si="55"/>
        <v>Központi Konyha</v>
      </c>
      <c r="C83" s="770"/>
      <c r="D83" s="647"/>
      <c r="E83" s="647"/>
      <c r="F83" s="775"/>
      <c r="G83" s="647"/>
      <c r="H83" s="770"/>
      <c r="I83" s="647"/>
      <c r="J83" s="647"/>
      <c r="K83" s="647"/>
      <c r="L83" s="776">
        <f t="shared" si="33"/>
        <v>0</v>
      </c>
      <c r="M83" s="776">
        <f t="shared" si="34"/>
        <v>0</v>
      </c>
      <c r="N83" s="777">
        <f t="shared" si="35"/>
        <v>0</v>
      </c>
      <c r="O83" s="647"/>
      <c r="P83" s="770"/>
      <c r="Q83" s="647"/>
      <c r="R83" s="647"/>
      <c r="S83" s="647"/>
      <c r="T83" s="778">
        <f t="shared" si="56"/>
        <v>0</v>
      </c>
      <c r="U83" s="648"/>
      <c r="V83" s="494"/>
      <c r="W83" s="494"/>
    </row>
    <row r="84" spans="1:23" ht="8.1" customHeight="1" x14ac:dyDescent="0.25">
      <c r="A84" s="593"/>
      <c r="B84" s="779" t="s">
        <v>455</v>
      </c>
      <c r="C84" s="780"/>
      <c r="D84" s="781"/>
      <c r="E84" s="781"/>
      <c r="F84" s="782"/>
      <c r="G84" s="781"/>
      <c r="H84" s="780"/>
      <c r="I84" s="781"/>
      <c r="J84" s="781"/>
      <c r="K84" s="781"/>
      <c r="L84" s="783"/>
      <c r="M84" s="783"/>
      <c r="N84" s="784"/>
      <c r="O84" s="781"/>
      <c r="P84" s="780"/>
      <c r="Q84" s="781"/>
      <c r="R84" s="781"/>
      <c r="S84" s="781"/>
      <c r="T84" s="785"/>
      <c r="U84" s="648"/>
      <c r="V84" s="494"/>
      <c r="W84" s="494"/>
    </row>
    <row r="85" spans="1:23" x14ac:dyDescent="0.25">
      <c r="A85" s="786" t="str">
        <f>+A76</f>
        <v>K5</v>
      </c>
      <c r="B85" s="787" t="s">
        <v>449</v>
      </c>
      <c r="C85" s="788">
        <f>SUM(C77:C84)</f>
        <v>126531257</v>
      </c>
      <c r="D85" s="789">
        <f t="shared" ref="D85:F85" si="57">SUM(D77:D84)</f>
        <v>127250158</v>
      </c>
      <c r="E85" s="789">
        <f t="shared" si="57"/>
        <v>127700158</v>
      </c>
      <c r="F85" s="790">
        <f t="shared" si="57"/>
        <v>145312407</v>
      </c>
      <c r="G85" s="789"/>
      <c r="H85" s="788">
        <f>SUM(H77:H84)</f>
        <v>87541344</v>
      </c>
      <c r="I85" s="789">
        <f t="shared" ref="I85:J85" si="58">SUM(I77:I84)</f>
        <v>99005461</v>
      </c>
      <c r="J85" s="789">
        <f t="shared" si="58"/>
        <v>130328150</v>
      </c>
      <c r="K85" s="789"/>
      <c r="L85" s="791">
        <f t="shared" si="33"/>
        <v>0.68794683932730361</v>
      </c>
      <c r="M85" s="791">
        <f t="shared" si="34"/>
        <v>0.77529630777747349</v>
      </c>
      <c r="N85" s="792">
        <f t="shared" si="35"/>
        <v>0.89688246647789682</v>
      </c>
      <c r="O85" s="789"/>
      <c r="P85" s="788">
        <f>SUM(P77:P84)</f>
        <v>718901</v>
      </c>
      <c r="Q85" s="789">
        <f t="shared" ref="Q85:S85" si="59">SUM(Q77:Q84)</f>
        <v>450000</v>
      </c>
      <c r="R85" s="789">
        <f t="shared" si="59"/>
        <v>17612249</v>
      </c>
      <c r="S85" s="789">
        <f t="shared" si="59"/>
        <v>18781150</v>
      </c>
      <c r="T85" s="793">
        <f t="shared" si="56"/>
        <v>0.14843091300357508</v>
      </c>
      <c r="U85" s="648"/>
      <c r="V85" s="494"/>
      <c r="W85" s="494"/>
    </row>
    <row r="86" spans="1:23" x14ac:dyDescent="0.25">
      <c r="A86" s="593"/>
      <c r="B86" s="593"/>
      <c r="C86" s="796"/>
      <c r="D86" s="653"/>
      <c r="E86" s="653"/>
      <c r="F86" s="797"/>
      <c r="G86" s="653"/>
      <c r="H86" s="796"/>
      <c r="I86" s="653"/>
      <c r="J86" s="653"/>
      <c r="K86" s="653"/>
      <c r="L86" s="776"/>
      <c r="M86" s="776"/>
      <c r="N86" s="777"/>
      <c r="O86" s="653"/>
      <c r="P86" s="796"/>
      <c r="Q86" s="593"/>
      <c r="R86" s="593"/>
      <c r="S86" s="593"/>
      <c r="T86" s="794"/>
      <c r="U86" s="653"/>
      <c r="V86" s="494"/>
      <c r="W86" s="494"/>
    </row>
    <row r="87" spans="1:23" x14ac:dyDescent="0.25">
      <c r="A87" s="593"/>
      <c r="B87" s="593"/>
      <c r="C87" s="796"/>
      <c r="D87" s="653"/>
      <c r="E87" s="653"/>
      <c r="F87" s="797"/>
      <c r="G87" s="653"/>
      <c r="H87" s="796"/>
      <c r="I87" s="653"/>
      <c r="J87" s="653"/>
      <c r="K87" s="653"/>
      <c r="L87" s="776"/>
      <c r="M87" s="776"/>
      <c r="N87" s="777"/>
      <c r="O87" s="653"/>
      <c r="P87" s="796"/>
      <c r="Q87" s="593"/>
      <c r="R87" s="593"/>
      <c r="S87" s="593"/>
      <c r="T87" s="794"/>
      <c r="U87" s="653"/>
      <c r="V87" s="494"/>
      <c r="W87" s="494"/>
    </row>
    <row r="88" spans="1:23" x14ac:dyDescent="0.25">
      <c r="A88" s="656" t="s">
        <v>159</v>
      </c>
      <c r="B88" s="656" t="str">
        <f>+'3. Önk. Kiadások'!B120</f>
        <v>Beruházások</v>
      </c>
      <c r="C88" s="770"/>
      <c r="D88" s="648"/>
      <c r="E88" s="648"/>
      <c r="F88" s="771"/>
      <c r="G88" s="648"/>
      <c r="H88" s="770"/>
      <c r="I88" s="653"/>
      <c r="J88" s="653"/>
      <c r="K88" s="648"/>
      <c r="L88" s="776"/>
      <c r="M88" s="776"/>
      <c r="N88" s="777"/>
      <c r="O88" s="648"/>
      <c r="P88" s="770"/>
      <c r="Q88" s="647"/>
      <c r="R88" s="647"/>
      <c r="S88" s="647"/>
      <c r="T88" s="794"/>
      <c r="U88" s="648"/>
      <c r="V88" s="494"/>
      <c r="W88" s="494"/>
    </row>
    <row r="89" spans="1:23" x14ac:dyDescent="0.25">
      <c r="A89" s="593"/>
      <c r="B89" s="655" t="str">
        <f t="shared" ref="B89:B95" si="60">+B77</f>
        <v>Sülysáp Város Önkormányzata</v>
      </c>
      <c r="C89" s="770">
        <f>+'3. Önk. Kiadások'!C120</f>
        <v>696367057</v>
      </c>
      <c r="D89" s="647">
        <f>+'3. Önk. Kiadások'!D120</f>
        <v>646616628</v>
      </c>
      <c r="E89" s="647">
        <f>+'3. Önk. Kiadások'!E120</f>
        <v>637231873</v>
      </c>
      <c r="F89" s="775">
        <f>+'3. Önk. Kiadások'!F120</f>
        <v>656988945</v>
      </c>
      <c r="G89" s="648"/>
      <c r="H89" s="770">
        <f>+'3. Önk. Kiadások'!H120</f>
        <v>132502306</v>
      </c>
      <c r="I89" s="647">
        <f>+'3. Önk. Kiadások'!I120</f>
        <v>138788269</v>
      </c>
      <c r="J89" s="647">
        <f>+'3. Önk. Kiadások'!J120</f>
        <v>159500819</v>
      </c>
      <c r="K89" s="648"/>
      <c r="L89" s="776">
        <f t="shared" si="33"/>
        <v>0.20491632949470023</v>
      </c>
      <c r="M89" s="776">
        <f t="shared" si="34"/>
        <v>0.21779869287862819</v>
      </c>
      <c r="N89" s="777">
        <f t="shared" si="35"/>
        <v>0.24277549906109913</v>
      </c>
      <c r="O89" s="648"/>
      <c r="P89" s="770">
        <f>+'3. Önk. Kiadások'!P120</f>
        <v>-49750429</v>
      </c>
      <c r="Q89" s="647">
        <f>+'3. Önk. Kiadások'!Q120</f>
        <v>-9384755</v>
      </c>
      <c r="R89" s="647">
        <f>+'3. Önk. Kiadások'!R120</f>
        <v>19757072</v>
      </c>
      <c r="S89" s="647">
        <f>+'3. Önk. Kiadások'!S120</f>
        <v>-39378112</v>
      </c>
      <c r="T89" s="778">
        <f t="shared" ref="T89:T97" si="61">IF(C89=0,0,+S89/C89)</f>
        <v>-5.6547924839586428E-2</v>
      </c>
      <c r="U89" s="648"/>
      <c r="V89" s="494"/>
      <c r="W89" s="494"/>
    </row>
    <row r="90" spans="1:23" x14ac:dyDescent="0.25">
      <c r="A90" s="655"/>
      <c r="B90" s="655" t="str">
        <f t="shared" si="60"/>
        <v>Gondozási Központ</v>
      </c>
      <c r="C90" s="770">
        <f>+'4. Dr Gáspár HSZK'!C83</f>
        <v>150000</v>
      </c>
      <c r="D90" s="647">
        <f>+'4. Dr Gáspár HSZK'!D83</f>
        <v>150000</v>
      </c>
      <c r="E90" s="647">
        <f>+'4. Dr Gáspár HSZK'!E83</f>
        <v>190000</v>
      </c>
      <c r="F90" s="775">
        <f>+'4. Dr Gáspár HSZK'!F83</f>
        <v>190000</v>
      </c>
      <c r="G90" s="647"/>
      <c r="H90" s="770">
        <f>+'4. Dr Gáspár HSZK'!H83</f>
        <v>94990</v>
      </c>
      <c r="I90" s="647">
        <f>+'4. Dr Gáspár HSZK'!I83</f>
        <v>175915</v>
      </c>
      <c r="J90" s="647">
        <f>+'4. Dr Gáspár HSZK'!J83</f>
        <v>175915</v>
      </c>
      <c r="K90" s="647"/>
      <c r="L90" s="776">
        <f t="shared" si="33"/>
        <v>0.63326666666666664</v>
      </c>
      <c r="M90" s="776">
        <f t="shared" si="34"/>
        <v>0.92586842105263156</v>
      </c>
      <c r="N90" s="777">
        <f t="shared" si="35"/>
        <v>0.92586842105263156</v>
      </c>
      <c r="O90" s="647"/>
      <c r="P90" s="770">
        <f>+'4. Dr Gáspár HSZK'!P83</f>
        <v>0</v>
      </c>
      <c r="Q90" s="647">
        <f>+'4. Dr Gáspár HSZK'!Q83</f>
        <v>40000</v>
      </c>
      <c r="R90" s="647">
        <f>+'4. Dr Gáspár HSZK'!R83</f>
        <v>0</v>
      </c>
      <c r="S90" s="647">
        <f>+'4. Dr Gáspár HSZK'!S83</f>
        <v>40000</v>
      </c>
      <c r="T90" s="778">
        <f t="shared" si="61"/>
        <v>0.26666666666666666</v>
      </c>
      <c r="U90" s="648"/>
      <c r="V90" s="494"/>
      <c r="W90" s="494"/>
    </row>
    <row r="91" spans="1:23" x14ac:dyDescent="0.25">
      <c r="A91" s="593"/>
      <c r="B91" s="655" t="str">
        <f t="shared" si="60"/>
        <v>Csicsergő Napköziotthonos Óvoda</v>
      </c>
      <c r="C91" s="770">
        <f>+'5. Csicsergő'!C84</f>
        <v>3260000</v>
      </c>
      <c r="D91" s="647">
        <f>+'5. Csicsergő'!D84</f>
        <v>3260000</v>
      </c>
      <c r="E91" s="647">
        <f>+'5. Csicsergő'!E84</f>
        <v>3260000</v>
      </c>
      <c r="F91" s="775">
        <f>+'5. Csicsergő'!F84</f>
        <v>2350000</v>
      </c>
      <c r="G91" s="647"/>
      <c r="H91" s="770">
        <f>+'5. Csicsergő'!H84</f>
        <v>1006401</v>
      </c>
      <c r="I91" s="647">
        <f>+'5. Csicsergő'!I84</f>
        <v>1414881</v>
      </c>
      <c r="J91" s="647">
        <f>+'5. Csicsergő'!J84</f>
        <v>1719571</v>
      </c>
      <c r="K91" s="647"/>
      <c r="L91" s="776">
        <f t="shared" si="33"/>
        <v>0.30871196319018407</v>
      </c>
      <c r="M91" s="776">
        <f t="shared" si="34"/>
        <v>0.43401257668711657</v>
      </c>
      <c r="N91" s="777">
        <f t="shared" si="35"/>
        <v>0.73173234042553192</v>
      </c>
      <c r="O91" s="647"/>
      <c r="P91" s="770">
        <f>+'5. Csicsergő'!P84</f>
        <v>0</v>
      </c>
      <c r="Q91" s="647">
        <f>+'5. Csicsergő'!Q84</f>
        <v>0</v>
      </c>
      <c r="R91" s="647">
        <f>+'5. Csicsergő'!R84</f>
        <v>-910000</v>
      </c>
      <c r="S91" s="647">
        <f>+'5. Csicsergő'!S84</f>
        <v>-910000</v>
      </c>
      <c r="T91" s="778">
        <f t="shared" si="61"/>
        <v>-0.27914110429447853</v>
      </c>
      <c r="U91" s="648"/>
      <c r="V91" s="494"/>
      <c r="W91" s="494"/>
    </row>
    <row r="92" spans="1:23" x14ac:dyDescent="0.25">
      <c r="A92" s="593"/>
      <c r="B92" s="655" t="str">
        <f t="shared" si="60"/>
        <v>Gólyahír Bőlcsőde</v>
      </c>
      <c r="C92" s="770">
        <f>+'6. Gólyahír'!C83</f>
        <v>16000</v>
      </c>
      <c r="D92" s="647">
        <f>+'6. Gólyahír'!D83</f>
        <v>46000</v>
      </c>
      <c r="E92" s="647">
        <f>+'6. Gólyahír'!E83</f>
        <v>156000</v>
      </c>
      <c r="F92" s="775">
        <f>+'6. Gólyahír'!F83</f>
        <v>231000</v>
      </c>
      <c r="G92" s="647"/>
      <c r="H92" s="770">
        <f>+'6. Gólyahír'!H83</f>
        <v>42990</v>
      </c>
      <c r="I92" s="647">
        <f>+'6. Gólyahír'!I83</f>
        <v>149290</v>
      </c>
      <c r="J92" s="647">
        <f>+'6. Gólyahír'!J83</f>
        <v>229280</v>
      </c>
      <c r="K92" s="647"/>
      <c r="L92" s="776">
        <f t="shared" si="33"/>
        <v>0.93456521739130438</v>
      </c>
      <c r="M92" s="776">
        <f t="shared" si="34"/>
        <v>0.95698717948717948</v>
      </c>
      <c r="N92" s="777">
        <f t="shared" si="35"/>
        <v>0.99255411255411252</v>
      </c>
      <c r="O92" s="647"/>
      <c r="P92" s="770">
        <f>+'6. Gólyahír'!P83</f>
        <v>30000</v>
      </c>
      <c r="Q92" s="647">
        <f>+'6. Gólyahír'!Q83</f>
        <v>110000</v>
      </c>
      <c r="R92" s="647">
        <f>+'6. Gólyahír'!R83</f>
        <v>75000</v>
      </c>
      <c r="S92" s="647">
        <f>+'6. Gólyahír'!S83</f>
        <v>215000</v>
      </c>
      <c r="T92" s="778">
        <f t="shared" si="61"/>
        <v>13.4375</v>
      </c>
      <c r="U92" s="648"/>
      <c r="V92" s="494"/>
      <c r="W92" s="494"/>
    </row>
    <row r="93" spans="1:23" x14ac:dyDescent="0.25">
      <c r="A93" s="593"/>
      <c r="B93" s="665" t="str">
        <f t="shared" si="60"/>
        <v>Polgármesteri Hivatal</v>
      </c>
      <c r="C93" s="770">
        <f>+'7. Polg.Hiv.'!C83</f>
        <v>1000000</v>
      </c>
      <c r="D93" s="647">
        <f>+'7. Polg.Hiv.'!D83</f>
        <v>1000000</v>
      </c>
      <c r="E93" s="647">
        <f>+'7. Polg.Hiv.'!E83</f>
        <v>1410000</v>
      </c>
      <c r="F93" s="775">
        <f>+'7. Polg.Hiv.'!F83</f>
        <v>1245000</v>
      </c>
      <c r="G93" s="647"/>
      <c r="H93" s="770">
        <f>+'7. Polg.Hiv.'!H83</f>
        <v>554835</v>
      </c>
      <c r="I93" s="647">
        <f>+'7. Polg.Hiv.'!I83</f>
        <v>554835</v>
      </c>
      <c r="J93" s="647">
        <f>+'7. Polg.Hiv.'!J83</f>
        <v>654195</v>
      </c>
      <c r="K93" s="647"/>
      <c r="L93" s="776">
        <f t="shared" ref="L93:L145" si="62">IF(D93=0,0,H93/D93)</f>
        <v>0.55483499999999997</v>
      </c>
      <c r="M93" s="776">
        <f t="shared" ref="M93:M145" si="63">IF(E93=0,0,I93/E93)</f>
        <v>0.39350000000000002</v>
      </c>
      <c r="N93" s="777">
        <f t="shared" ref="N93:N145" si="64">IF(F93=0,0,J93/F93)</f>
        <v>0.52545783132530122</v>
      </c>
      <c r="O93" s="647"/>
      <c r="P93" s="770">
        <f>+'7. Polg.Hiv.'!P83</f>
        <v>0</v>
      </c>
      <c r="Q93" s="647">
        <f>+'7. Polg.Hiv.'!Q83</f>
        <v>410000</v>
      </c>
      <c r="R93" s="647">
        <f>+'7. Polg.Hiv.'!R83</f>
        <v>-165000</v>
      </c>
      <c r="S93" s="647">
        <f>+'7. Polg.Hiv.'!S83</f>
        <v>245000</v>
      </c>
      <c r="T93" s="778">
        <f t="shared" si="61"/>
        <v>0.245</v>
      </c>
      <c r="U93" s="648"/>
      <c r="V93" s="494"/>
      <c r="W93" s="494"/>
    </row>
    <row r="94" spans="1:23" x14ac:dyDescent="0.25">
      <c r="A94" s="593"/>
      <c r="B94" s="655" t="str">
        <f t="shared" si="60"/>
        <v>Wass Albert Művelődési Központ és Könyvtár</v>
      </c>
      <c r="C94" s="770">
        <f>+'8. WAMKK'!C83</f>
        <v>1250000</v>
      </c>
      <c r="D94" s="647">
        <f>+'8. WAMKK'!D83</f>
        <v>1250000</v>
      </c>
      <c r="E94" s="647">
        <f>+'8. WAMKK'!E83</f>
        <v>1250000</v>
      </c>
      <c r="F94" s="775">
        <f>+'8. WAMKK'!F83</f>
        <v>711030</v>
      </c>
      <c r="G94" s="647"/>
      <c r="H94" s="770">
        <f>+'8. WAMKK'!H83</f>
        <v>195390</v>
      </c>
      <c r="I94" s="647">
        <f>+'8. WAMKK'!I83</f>
        <v>216890</v>
      </c>
      <c r="J94" s="647">
        <f>+'8. WAMKK'!J83</f>
        <v>711030</v>
      </c>
      <c r="K94" s="647"/>
      <c r="L94" s="776">
        <f t="shared" si="62"/>
        <v>0.15631200000000001</v>
      </c>
      <c r="M94" s="776">
        <f t="shared" si="63"/>
        <v>0.173512</v>
      </c>
      <c r="N94" s="777">
        <f t="shared" si="64"/>
        <v>1</v>
      </c>
      <c r="O94" s="647"/>
      <c r="P94" s="770">
        <f>+'8. WAMKK'!P83</f>
        <v>0</v>
      </c>
      <c r="Q94" s="647">
        <f>+'8. WAMKK'!Q83</f>
        <v>0</v>
      </c>
      <c r="R94" s="647">
        <f>+'8. WAMKK'!R83</f>
        <v>-538970</v>
      </c>
      <c r="S94" s="647">
        <f>+'8. WAMKK'!S83</f>
        <v>-538970</v>
      </c>
      <c r="T94" s="778">
        <f t="shared" si="61"/>
        <v>-0.431176</v>
      </c>
      <c r="U94" s="648"/>
      <c r="V94" s="494"/>
      <c r="W94" s="494"/>
    </row>
    <row r="95" spans="1:23" x14ac:dyDescent="0.25">
      <c r="A95" s="593"/>
      <c r="B95" s="655" t="str">
        <f t="shared" si="60"/>
        <v>Központi Konyha</v>
      </c>
      <c r="C95" s="770">
        <f>+'9. Közp. Konyha'!C83</f>
        <v>750000</v>
      </c>
      <c r="D95" s="647">
        <f>+'9. Közp. Konyha'!D83</f>
        <v>5558811</v>
      </c>
      <c r="E95" s="647">
        <f>+'9. Közp. Konyha'!E83</f>
        <v>5766368</v>
      </c>
      <c r="F95" s="775">
        <f>+'9. Közp. Konyha'!F83</f>
        <v>5766368</v>
      </c>
      <c r="G95" s="647"/>
      <c r="H95" s="770">
        <f>+'9. Közp. Konyha'!H83</f>
        <v>5558811</v>
      </c>
      <c r="I95" s="647">
        <f>+'9. Közp. Konyha'!I83</f>
        <v>5766368</v>
      </c>
      <c r="J95" s="647">
        <f>+'9. Közp. Konyha'!J83</f>
        <v>5766368</v>
      </c>
      <c r="K95" s="647"/>
      <c r="L95" s="776">
        <f t="shared" si="62"/>
        <v>1</v>
      </c>
      <c r="M95" s="776">
        <f t="shared" si="63"/>
        <v>1</v>
      </c>
      <c r="N95" s="777">
        <f t="shared" si="64"/>
        <v>1</v>
      </c>
      <c r="O95" s="647"/>
      <c r="P95" s="770">
        <f>+'9. Közp. Konyha'!P83</f>
        <v>4808811</v>
      </c>
      <c r="Q95" s="647">
        <f>+'9. Közp. Konyha'!Q83</f>
        <v>207557</v>
      </c>
      <c r="R95" s="647">
        <f>+'9. Közp. Konyha'!R83</f>
        <v>0</v>
      </c>
      <c r="S95" s="647">
        <f>+'9. Közp. Konyha'!S83</f>
        <v>5016368</v>
      </c>
      <c r="T95" s="778">
        <f t="shared" si="61"/>
        <v>6.6884906666666666</v>
      </c>
      <c r="U95" s="648"/>
      <c r="V95" s="494"/>
      <c r="W95" s="494"/>
    </row>
    <row r="96" spans="1:23" ht="8.1" customHeight="1" x14ac:dyDescent="0.25">
      <c r="A96" s="593"/>
      <c r="B96" s="779" t="s">
        <v>455</v>
      </c>
      <c r="C96" s="780"/>
      <c r="D96" s="781"/>
      <c r="E96" s="781"/>
      <c r="F96" s="782"/>
      <c r="G96" s="781"/>
      <c r="H96" s="780"/>
      <c r="I96" s="781"/>
      <c r="J96" s="781"/>
      <c r="K96" s="781"/>
      <c r="L96" s="783"/>
      <c r="M96" s="783"/>
      <c r="N96" s="784"/>
      <c r="O96" s="781"/>
      <c r="P96" s="780"/>
      <c r="Q96" s="781"/>
      <c r="R96" s="781"/>
      <c r="S96" s="781"/>
      <c r="T96" s="785"/>
      <c r="U96" s="648"/>
      <c r="V96" s="494"/>
      <c r="W96" s="494"/>
    </row>
    <row r="97" spans="1:23" x14ac:dyDescent="0.25">
      <c r="A97" s="786" t="str">
        <f>+A88</f>
        <v>K6</v>
      </c>
      <c r="B97" s="787" t="s">
        <v>449</v>
      </c>
      <c r="C97" s="788">
        <f>SUM(C89:C96)</f>
        <v>702793057</v>
      </c>
      <c r="D97" s="789">
        <f t="shared" ref="D97:F97" si="65">SUM(D89:D96)</f>
        <v>657881439</v>
      </c>
      <c r="E97" s="789">
        <f t="shared" si="65"/>
        <v>649264241</v>
      </c>
      <c r="F97" s="790">
        <f t="shared" si="65"/>
        <v>667482343</v>
      </c>
      <c r="G97" s="789"/>
      <c r="H97" s="788">
        <f>SUM(H89:H96)</f>
        <v>139955723</v>
      </c>
      <c r="I97" s="789">
        <f t="shared" ref="I97:J97" si="66">SUM(I89:I96)</f>
        <v>147066448</v>
      </c>
      <c r="J97" s="789">
        <f t="shared" si="66"/>
        <v>168757178</v>
      </c>
      <c r="K97" s="789"/>
      <c r="L97" s="791">
        <f t="shared" si="62"/>
        <v>0.21273699895339349</v>
      </c>
      <c r="M97" s="791">
        <f t="shared" si="63"/>
        <v>0.22651247167638175</v>
      </c>
      <c r="N97" s="792">
        <f t="shared" si="64"/>
        <v>0.25282643019667111</v>
      </c>
      <c r="O97" s="789"/>
      <c r="P97" s="788">
        <f>SUM(P89:P96)</f>
        <v>-44911618</v>
      </c>
      <c r="Q97" s="789">
        <f t="shared" ref="Q97:S97" si="67">SUM(Q89:Q96)</f>
        <v>-8617198</v>
      </c>
      <c r="R97" s="789">
        <f t="shared" si="67"/>
        <v>18218102</v>
      </c>
      <c r="S97" s="789">
        <f t="shared" si="67"/>
        <v>-35310714</v>
      </c>
      <c r="T97" s="793">
        <f t="shared" si="61"/>
        <v>-5.0243401878115025E-2</v>
      </c>
      <c r="U97" s="648"/>
      <c r="V97" s="494"/>
      <c r="W97" s="494"/>
    </row>
    <row r="98" spans="1:23" x14ac:dyDescent="0.25">
      <c r="A98" s="593"/>
      <c r="B98" s="593"/>
      <c r="C98" s="796"/>
      <c r="D98" s="653"/>
      <c r="E98" s="653"/>
      <c r="F98" s="797"/>
      <c r="G98" s="653"/>
      <c r="H98" s="796"/>
      <c r="I98" s="653"/>
      <c r="J98" s="653"/>
      <c r="K98" s="653"/>
      <c r="L98" s="776"/>
      <c r="M98" s="776"/>
      <c r="N98" s="777"/>
      <c r="O98" s="653"/>
      <c r="P98" s="796"/>
      <c r="Q98" s="593"/>
      <c r="R98" s="593"/>
      <c r="S98" s="593"/>
      <c r="T98" s="774"/>
      <c r="U98" s="653"/>
      <c r="V98" s="494"/>
      <c r="W98" s="494"/>
    </row>
    <row r="99" spans="1:23" x14ac:dyDescent="0.25">
      <c r="A99" s="593"/>
      <c r="B99" s="593"/>
      <c r="C99" s="796"/>
      <c r="D99" s="653"/>
      <c r="E99" s="653"/>
      <c r="F99" s="797"/>
      <c r="G99" s="653"/>
      <c r="H99" s="796"/>
      <c r="I99" s="653"/>
      <c r="J99" s="653"/>
      <c r="K99" s="653"/>
      <c r="L99" s="776"/>
      <c r="M99" s="776"/>
      <c r="N99" s="777"/>
      <c r="O99" s="653"/>
      <c r="P99" s="796"/>
      <c r="Q99" s="593"/>
      <c r="R99" s="593"/>
      <c r="S99" s="593"/>
      <c r="T99" s="774"/>
      <c r="U99" s="653"/>
      <c r="V99" s="494"/>
      <c r="W99" s="494"/>
    </row>
    <row r="100" spans="1:23" x14ac:dyDescent="0.25">
      <c r="A100" s="656" t="s">
        <v>174</v>
      </c>
      <c r="B100" s="656" t="str">
        <f>+'3. Önk. Kiadások'!B129</f>
        <v>Felújítások</v>
      </c>
      <c r="C100" s="770"/>
      <c r="D100" s="648"/>
      <c r="E100" s="648"/>
      <c r="F100" s="771"/>
      <c r="G100" s="648"/>
      <c r="H100" s="770"/>
      <c r="I100" s="653"/>
      <c r="J100" s="653"/>
      <c r="K100" s="648"/>
      <c r="L100" s="776"/>
      <c r="M100" s="776"/>
      <c r="N100" s="777"/>
      <c r="O100" s="648"/>
      <c r="P100" s="770"/>
      <c r="Q100" s="647"/>
      <c r="R100" s="647"/>
      <c r="S100" s="647"/>
      <c r="T100" s="774"/>
      <c r="U100" s="648"/>
      <c r="V100" s="494"/>
      <c r="W100" s="494"/>
    </row>
    <row r="101" spans="1:23" x14ac:dyDescent="0.25">
      <c r="A101" s="593"/>
      <c r="B101" s="655" t="str">
        <f t="shared" ref="B101:B107" si="68">+B89</f>
        <v>Sülysáp Város Önkormányzata</v>
      </c>
      <c r="C101" s="770">
        <f>+'3. Önk. Kiadások'!C129</f>
        <v>69100000</v>
      </c>
      <c r="D101" s="647">
        <f>+'3. Önk. Kiadások'!D129</f>
        <v>50100000</v>
      </c>
      <c r="E101" s="647">
        <f>+'3. Önk. Kiadások'!E129</f>
        <v>50100000</v>
      </c>
      <c r="F101" s="775">
        <f>+'3. Önk. Kiadások'!F129</f>
        <v>77092908</v>
      </c>
      <c r="G101" s="648"/>
      <c r="H101" s="770">
        <f>+'3. Önk. Kiadások'!H129</f>
        <v>4531320</v>
      </c>
      <c r="I101" s="647">
        <f>+'3. Önk. Kiadások'!I129</f>
        <v>5007570</v>
      </c>
      <c r="J101" s="647">
        <f>+'3. Önk. Kiadások'!J129</f>
        <v>77092908</v>
      </c>
      <c r="K101" s="648"/>
      <c r="L101" s="776">
        <f t="shared" si="62"/>
        <v>9.0445508982035933E-2</v>
      </c>
      <c r="M101" s="776">
        <f t="shared" si="63"/>
        <v>9.995149700598803E-2</v>
      </c>
      <c r="N101" s="777">
        <f t="shared" si="64"/>
        <v>1</v>
      </c>
      <c r="O101" s="648"/>
      <c r="P101" s="770">
        <f>+'3. Önk. Kiadások'!P129</f>
        <v>-19000000</v>
      </c>
      <c r="Q101" s="647">
        <f>+'3. Önk. Kiadások'!Q129</f>
        <v>0</v>
      </c>
      <c r="R101" s="647">
        <f>+'3. Önk. Kiadások'!R129</f>
        <v>26992908</v>
      </c>
      <c r="S101" s="647">
        <f>+'3. Önk. Kiadások'!S129</f>
        <v>7992908</v>
      </c>
      <c r="T101" s="778">
        <f t="shared" ref="T101:T109" si="69">IF(C101=0,0,+S101/C101)</f>
        <v>0.11567160636758321</v>
      </c>
      <c r="U101" s="648"/>
      <c r="V101" s="494"/>
      <c r="W101" s="494"/>
    </row>
    <row r="102" spans="1:23" x14ac:dyDescent="0.25">
      <c r="A102" s="655"/>
      <c r="B102" s="655" t="str">
        <f t="shared" si="68"/>
        <v>Gondozási Központ</v>
      </c>
      <c r="C102" s="770">
        <f>+'4. Dr Gáspár HSZK'!C86</f>
        <v>0</v>
      </c>
      <c r="D102" s="647">
        <f>+'4. Dr Gáspár HSZK'!D86</f>
        <v>0</v>
      </c>
      <c r="E102" s="647">
        <f>+'4. Dr Gáspár HSZK'!E86</f>
        <v>0</v>
      </c>
      <c r="F102" s="775">
        <f>+'4. Dr Gáspár HSZK'!F86</f>
        <v>0</v>
      </c>
      <c r="G102" s="647"/>
      <c r="H102" s="770">
        <f>+'4. Dr Gáspár HSZK'!H86</f>
        <v>0</v>
      </c>
      <c r="I102" s="647">
        <f>+'4. Dr Gáspár HSZK'!I86</f>
        <v>0</v>
      </c>
      <c r="J102" s="647">
        <f>+'4. Dr Gáspár HSZK'!J86</f>
        <v>0</v>
      </c>
      <c r="K102" s="647"/>
      <c r="L102" s="776">
        <f t="shared" si="62"/>
        <v>0</v>
      </c>
      <c r="M102" s="776">
        <f t="shared" si="63"/>
        <v>0</v>
      </c>
      <c r="N102" s="777">
        <f t="shared" si="64"/>
        <v>0</v>
      </c>
      <c r="O102" s="647"/>
      <c r="P102" s="770">
        <f>+'4. Dr Gáspár HSZK'!P86</f>
        <v>0</v>
      </c>
      <c r="Q102" s="647">
        <f>+'4. Dr Gáspár HSZK'!Q86</f>
        <v>0</v>
      </c>
      <c r="R102" s="647">
        <f>+'4. Dr Gáspár HSZK'!R86</f>
        <v>0</v>
      </c>
      <c r="S102" s="647">
        <f>+'4. Dr Gáspár HSZK'!S86</f>
        <v>0</v>
      </c>
      <c r="T102" s="778">
        <f t="shared" si="69"/>
        <v>0</v>
      </c>
      <c r="U102" s="648"/>
      <c r="V102" s="494"/>
      <c r="W102" s="494"/>
    </row>
    <row r="103" spans="1:23" x14ac:dyDescent="0.25">
      <c r="A103" s="593"/>
      <c r="B103" s="655" t="str">
        <f t="shared" si="68"/>
        <v>Csicsergő Napköziotthonos Óvoda</v>
      </c>
      <c r="C103" s="770">
        <f>+'5. Csicsergő'!C87</f>
        <v>0</v>
      </c>
      <c r="D103" s="647">
        <f>+'5. Csicsergő'!D87</f>
        <v>0</v>
      </c>
      <c r="E103" s="647">
        <f>+'5. Csicsergő'!E87</f>
        <v>0</v>
      </c>
      <c r="F103" s="775">
        <f>+'5. Csicsergő'!F87</f>
        <v>0</v>
      </c>
      <c r="G103" s="647"/>
      <c r="H103" s="770">
        <f>+'5. Csicsergő'!H87</f>
        <v>0</v>
      </c>
      <c r="I103" s="647">
        <f>+'5. Csicsergő'!I87</f>
        <v>0</v>
      </c>
      <c r="J103" s="647">
        <f>+'5. Csicsergő'!J87</f>
        <v>0</v>
      </c>
      <c r="K103" s="647"/>
      <c r="L103" s="776">
        <f t="shared" si="62"/>
        <v>0</v>
      </c>
      <c r="M103" s="776">
        <f t="shared" si="63"/>
        <v>0</v>
      </c>
      <c r="N103" s="777">
        <f t="shared" si="64"/>
        <v>0</v>
      </c>
      <c r="O103" s="647"/>
      <c r="P103" s="770">
        <f>+'5. Csicsergő'!P87</f>
        <v>0</v>
      </c>
      <c r="Q103" s="647">
        <f>+'5. Csicsergő'!Q87</f>
        <v>0</v>
      </c>
      <c r="R103" s="647">
        <f>+'5. Csicsergő'!R87</f>
        <v>0</v>
      </c>
      <c r="S103" s="647">
        <f>+'5. Csicsergő'!S87</f>
        <v>0</v>
      </c>
      <c r="T103" s="778">
        <f t="shared" si="69"/>
        <v>0</v>
      </c>
      <c r="U103" s="648"/>
      <c r="V103" s="494"/>
      <c r="W103" s="494"/>
    </row>
    <row r="104" spans="1:23" x14ac:dyDescent="0.25">
      <c r="A104" s="593"/>
      <c r="B104" s="655" t="str">
        <f t="shared" si="68"/>
        <v>Gólyahír Bőlcsőde</v>
      </c>
      <c r="C104" s="770">
        <f>+'6. Gólyahír'!C86</f>
        <v>0</v>
      </c>
      <c r="D104" s="647">
        <f>+'6. Gólyahír'!D86</f>
        <v>0</v>
      </c>
      <c r="E104" s="647">
        <f>+'6. Gólyahír'!E86</f>
        <v>0</v>
      </c>
      <c r="F104" s="775">
        <f>+'6. Gólyahír'!F86</f>
        <v>0</v>
      </c>
      <c r="G104" s="647"/>
      <c r="H104" s="770">
        <f>+'6. Gólyahír'!H86</f>
        <v>0</v>
      </c>
      <c r="I104" s="647">
        <f>+'6. Gólyahír'!I86</f>
        <v>0</v>
      </c>
      <c r="J104" s="647">
        <f>+'6. Gólyahír'!J86</f>
        <v>0</v>
      </c>
      <c r="K104" s="647"/>
      <c r="L104" s="776">
        <f t="shared" si="62"/>
        <v>0</v>
      </c>
      <c r="M104" s="776">
        <f t="shared" si="63"/>
        <v>0</v>
      </c>
      <c r="N104" s="777">
        <f t="shared" si="64"/>
        <v>0</v>
      </c>
      <c r="O104" s="647"/>
      <c r="P104" s="770">
        <f>+'6. Gólyahír'!P86</f>
        <v>0</v>
      </c>
      <c r="Q104" s="647">
        <f>+'6. Gólyahír'!Q86</f>
        <v>0</v>
      </c>
      <c r="R104" s="647">
        <f>+'6. Gólyahír'!R86</f>
        <v>0</v>
      </c>
      <c r="S104" s="647">
        <f>+'6. Gólyahír'!S86</f>
        <v>0</v>
      </c>
      <c r="T104" s="778">
        <f t="shared" si="69"/>
        <v>0</v>
      </c>
      <c r="U104" s="648"/>
      <c r="V104" s="494"/>
      <c r="W104" s="494"/>
    </row>
    <row r="105" spans="1:23" x14ac:dyDescent="0.25">
      <c r="A105" s="593"/>
      <c r="B105" s="655" t="str">
        <f t="shared" si="68"/>
        <v>Polgármesteri Hivatal</v>
      </c>
      <c r="C105" s="770">
        <f>+'7. Polg.Hiv.'!C86</f>
        <v>0</v>
      </c>
      <c r="D105" s="647">
        <f>+'7. Polg.Hiv.'!D86</f>
        <v>0</v>
      </c>
      <c r="E105" s="647">
        <f>+'7. Polg.Hiv.'!E86</f>
        <v>0</v>
      </c>
      <c r="F105" s="775">
        <f>+'7. Polg.Hiv.'!F86</f>
        <v>0</v>
      </c>
      <c r="G105" s="647"/>
      <c r="H105" s="770">
        <f>+'7. Polg.Hiv.'!H86</f>
        <v>0</v>
      </c>
      <c r="I105" s="647">
        <f>+'7. Polg.Hiv.'!I86</f>
        <v>0</v>
      </c>
      <c r="J105" s="647">
        <f>+'7. Polg.Hiv.'!J86</f>
        <v>0</v>
      </c>
      <c r="K105" s="647"/>
      <c r="L105" s="776">
        <f t="shared" si="62"/>
        <v>0</v>
      </c>
      <c r="M105" s="776">
        <f t="shared" si="63"/>
        <v>0</v>
      </c>
      <c r="N105" s="777">
        <f t="shared" si="64"/>
        <v>0</v>
      </c>
      <c r="O105" s="647"/>
      <c r="P105" s="770">
        <f>+'7. Polg.Hiv.'!P86</f>
        <v>0</v>
      </c>
      <c r="Q105" s="647">
        <f>+'7. Polg.Hiv.'!Q86</f>
        <v>0</v>
      </c>
      <c r="R105" s="647">
        <f>+'7. Polg.Hiv.'!R86</f>
        <v>0</v>
      </c>
      <c r="S105" s="647">
        <f>+'7. Polg.Hiv.'!S86</f>
        <v>0</v>
      </c>
      <c r="T105" s="778">
        <f t="shared" si="69"/>
        <v>0</v>
      </c>
      <c r="U105" s="648"/>
      <c r="V105" s="494"/>
      <c r="W105" s="494"/>
    </row>
    <row r="106" spans="1:23" x14ac:dyDescent="0.25">
      <c r="A106" s="593"/>
      <c r="B106" s="655" t="str">
        <f t="shared" si="68"/>
        <v>Wass Albert Művelődési Központ és Könyvtár</v>
      </c>
      <c r="C106" s="770">
        <f>+'8. WAMKK'!C86</f>
        <v>0</v>
      </c>
      <c r="D106" s="647">
        <f>+'8. WAMKK'!D86</f>
        <v>0</v>
      </c>
      <c r="E106" s="647">
        <f>+'8. WAMKK'!E86</f>
        <v>0</v>
      </c>
      <c r="F106" s="775">
        <f>+'8. WAMKK'!F86</f>
        <v>0</v>
      </c>
      <c r="G106" s="647"/>
      <c r="H106" s="770">
        <f>+'8. WAMKK'!H86</f>
        <v>0</v>
      </c>
      <c r="I106" s="647">
        <f>+'8. WAMKK'!I86</f>
        <v>0</v>
      </c>
      <c r="J106" s="647">
        <f>+'8. WAMKK'!J86</f>
        <v>0</v>
      </c>
      <c r="K106" s="647"/>
      <c r="L106" s="776">
        <f t="shared" si="62"/>
        <v>0</v>
      </c>
      <c r="M106" s="776">
        <f t="shared" si="63"/>
        <v>0</v>
      </c>
      <c r="N106" s="777">
        <f t="shared" si="64"/>
        <v>0</v>
      </c>
      <c r="O106" s="647"/>
      <c r="P106" s="770">
        <f>+'8. WAMKK'!P86</f>
        <v>0</v>
      </c>
      <c r="Q106" s="647">
        <f>+'8. WAMKK'!Q86</f>
        <v>0</v>
      </c>
      <c r="R106" s="647">
        <f>+'8. WAMKK'!R86</f>
        <v>0</v>
      </c>
      <c r="S106" s="647">
        <f>+'8. WAMKK'!S86</f>
        <v>0</v>
      </c>
      <c r="T106" s="778">
        <f t="shared" si="69"/>
        <v>0</v>
      </c>
      <c r="U106" s="648"/>
      <c r="V106" s="494"/>
      <c r="W106" s="494"/>
    </row>
    <row r="107" spans="1:23" x14ac:dyDescent="0.25">
      <c r="A107" s="593"/>
      <c r="B107" s="655" t="str">
        <f t="shared" si="68"/>
        <v>Központi Konyha</v>
      </c>
      <c r="C107" s="770">
        <f>+'9. Közp. Konyha'!C86</f>
        <v>0</v>
      </c>
      <c r="D107" s="647">
        <f>+'9. Közp. Konyha'!D86</f>
        <v>0</v>
      </c>
      <c r="E107" s="647">
        <f>+'9. Közp. Konyha'!E86</f>
        <v>0</v>
      </c>
      <c r="F107" s="775">
        <f>+'9. Közp. Konyha'!F86</f>
        <v>0</v>
      </c>
      <c r="G107" s="647"/>
      <c r="H107" s="770">
        <f>+'9. Közp. Konyha'!H86</f>
        <v>0</v>
      </c>
      <c r="I107" s="647">
        <f>+'9. Közp. Konyha'!I86</f>
        <v>0</v>
      </c>
      <c r="J107" s="647">
        <f>+'9. Közp. Konyha'!J86</f>
        <v>0</v>
      </c>
      <c r="K107" s="647"/>
      <c r="L107" s="776">
        <f t="shared" si="62"/>
        <v>0</v>
      </c>
      <c r="M107" s="776">
        <f t="shared" si="63"/>
        <v>0</v>
      </c>
      <c r="N107" s="777">
        <f t="shared" si="64"/>
        <v>0</v>
      </c>
      <c r="O107" s="647"/>
      <c r="P107" s="770">
        <f>+'9. Közp. Konyha'!P86</f>
        <v>0</v>
      </c>
      <c r="Q107" s="647">
        <f>+'9. Közp. Konyha'!Q86</f>
        <v>0</v>
      </c>
      <c r="R107" s="647">
        <f>+'9. Közp. Konyha'!R86</f>
        <v>0</v>
      </c>
      <c r="S107" s="647">
        <f>+'9. Közp. Konyha'!S86</f>
        <v>0</v>
      </c>
      <c r="T107" s="778">
        <f t="shared" si="69"/>
        <v>0</v>
      </c>
      <c r="U107" s="648"/>
      <c r="V107" s="494"/>
      <c r="W107" s="494"/>
    </row>
    <row r="108" spans="1:23" ht="8.1" customHeight="1" x14ac:dyDescent="0.25">
      <c r="A108" s="593"/>
      <c r="B108" s="779" t="s">
        <v>455</v>
      </c>
      <c r="C108" s="780"/>
      <c r="D108" s="781"/>
      <c r="E108" s="781"/>
      <c r="F108" s="782"/>
      <c r="G108" s="781"/>
      <c r="H108" s="780"/>
      <c r="I108" s="781"/>
      <c r="J108" s="781"/>
      <c r="K108" s="781"/>
      <c r="L108" s="783"/>
      <c r="M108" s="783"/>
      <c r="N108" s="784"/>
      <c r="O108" s="781"/>
      <c r="P108" s="780"/>
      <c r="Q108" s="781"/>
      <c r="R108" s="781"/>
      <c r="S108" s="781"/>
      <c r="T108" s="785"/>
      <c r="U108" s="648"/>
      <c r="V108" s="494"/>
      <c r="W108" s="494"/>
    </row>
    <row r="109" spans="1:23" x14ac:dyDescent="0.25">
      <c r="A109" s="786" t="str">
        <f>+A100</f>
        <v>K7</v>
      </c>
      <c r="B109" s="787" t="s">
        <v>449</v>
      </c>
      <c r="C109" s="788">
        <f>SUM(C101:C108)</f>
        <v>69100000</v>
      </c>
      <c r="D109" s="789">
        <f t="shared" ref="D109:F109" si="70">SUM(D101:D108)</f>
        <v>50100000</v>
      </c>
      <c r="E109" s="789">
        <f t="shared" si="70"/>
        <v>50100000</v>
      </c>
      <c r="F109" s="790">
        <f t="shared" si="70"/>
        <v>77092908</v>
      </c>
      <c r="G109" s="789"/>
      <c r="H109" s="788">
        <f>SUM(H101:H108)</f>
        <v>4531320</v>
      </c>
      <c r="I109" s="789">
        <f t="shared" ref="I109:J109" si="71">SUM(I101:I108)</f>
        <v>5007570</v>
      </c>
      <c r="J109" s="789">
        <f t="shared" si="71"/>
        <v>77092908</v>
      </c>
      <c r="K109" s="789"/>
      <c r="L109" s="791">
        <f t="shared" si="62"/>
        <v>9.0445508982035933E-2</v>
      </c>
      <c r="M109" s="791">
        <f t="shared" si="63"/>
        <v>9.995149700598803E-2</v>
      </c>
      <c r="N109" s="792">
        <f t="shared" si="64"/>
        <v>1</v>
      </c>
      <c r="O109" s="789"/>
      <c r="P109" s="788">
        <f>SUM(P101:P108)</f>
        <v>-19000000</v>
      </c>
      <c r="Q109" s="789">
        <f t="shared" ref="Q109:S109" si="72">SUM(Q101:Q108)</f>
        <v>0</v>
      </c>
      <c r="R109" s="789">
        <f t="shared" si="72"/>
        <v>26992908</v>
      </c>
      <c r="S109" s="789">
        <f t="shared" si="72"/>
        <v>7992908</v>
      </c>
      <c r="T109" s="793">
        <f t="shared" si="69"/>
        <v>0.11567160636758321</v>
      </c>
      <c r="U109" s="648"/>
      <c r="V109" s="494"/>
      <c r="W109" s="494"/>
    </row>
    <row r="110" spans="1:23" x14ac:dyDescent="0.25">
      <c r="A110" s="593"/>
      <c r="B110" s="593"/>
      <c r="C110" s="796"/>
      <c r="D110" s="653"/>
      <c r="E110" s="653"/>
      <c r="F110" s="797"/>
      <c r="G110" s="653"/>
      <c r="H110" s="796"/>
      <c r="I110" s="653"/>
      <c r="J110" s="653"/>
      <c r="K110" s="653"/>
      <c r="L110" s="776"/>
      <c r="M110" s="776"/>
      <c r="N110" s="777"/>
      <c r="O110" s="653"/>
      <c r="P110" s="796"/>
      <c r="Q110" s="593"/>
      <c r="R110" s="593"/>
      <c r="S110" s="593"/>
      <c r="T110" s="794"/>
      <c r="U110" s="653"/>
      <c r="V110" s="494"/>
      <c r="W110" s="494"/>
    </row>
    <row r="111" spans="1:23" x14ac:dyDescent="0.25">
      <c r="A111" s="593"/>
      <c r="B111" s="593"/>
      <c r="C111" s="796"/>
      <c r="D111" s="653"/>
      <c r="E111" s="653"/>
      <c r="F111" s="797"/>
      <c r="G111" s="653"/>
      <c r="H111" s="796"/>
      <c r="I111" s="653"/>
      <c r="J111" s="653"/>
      <c r="K111" s="653"/>
      <c r="L111" s="776"/>
      <c r="M111" s="776"/>
      <c r="N111" s="777"/>
      <c r="O111" s="653"/>
      <c r="P111" s="796"/>
      <c r="Q111" s="593"/>
      <c r="R111" s="593"/>
      <c r="S111" s="593"/>
      <c r="T111" s="794"/>
      <c r="U111" s="653"/>
      <c r="V111" s="494"/>
      <c r="W111" s="494"/>
    </row>
    <row r="112" spans="1:23" x14ac:dyDescent="0.25">
      <c r="A112" s="656" t="s">
        <v>184</v>
      </c>
      <c r="B112" s="656" t="str">
        <f>+'3. Önk. Kiadások'!B135</f>
        <v>Egyéb felhalmozási célú kiadások</v>
      </c>
      <c r="C112" s="770"/>
      <c r="D112" s="648"/>
      <c r="E112" s="648"/>
      <c r="F112" s="771"/>
      <c r="G112" s="648"/>
      <c r="H112" s="770"/>
      <c r="I112" s="653"/>
      <c r="J112" s="653"/>
      <c r="K112" s="648"/>
      <c r="L112" s="776"/>
      <c r="M112" s="776"/>
      <c r="N112" s="777"/>
      <c r="O112" s="648"/>
      <c r="P112" s="770"/>
      <c r="Q112" s="647"/>
      <c r="R112" s="647"/>
      <c r="S112" s="647"/>
      <c r="T112" s="794"/>
      <c r="U112" s="648"/>
      <c r="V112" s="494"/>
      <c r="W112" s="494"/>
    </row>
    <row r="113" spans="1:23" x14ac:dyDescent="0.25">
      <c r="A113" s="593"/>
      <c r="B113" s="655" t="str">
        <f t="shared" ref="B113:B119" si="73">+B101</f>
        <v>Sülysáp Város Önkormányzata</v>
      </c>
      <c r="C113" s="770">
        <f>+'3. Önk. Kiadások'!C135</f>
        <v>0</v>
      </c>
      <c r="D113" s="647">
        <f>+'3. Önk. Kiadások'!D135</f>
        <v>300766</v>
      </c>
      <c r="E113" s="647">
        <f>+'3. Önk. Kiadások'!E135</f>
        <v>7300766</v>
      </c>
      <c r="F113" s="775">
        <f>+'3. Önk. Kiadások'!F135</f>
        <v>463089</v>
      </c>
      <c r="G113" s="648"/>
      <c r="H113" s="770">
        <f>+'3. Önk. Kiadások'!H135</f>
        <v>300766</v>
      </c>
      <c r="I113" s="647">
        <f>+'3. Önk. Kiadások'!I135</f>
        <v>463089</v>
      </c>
      <c r="J113" s="647">
        <f>+'3. Önk. Kiadások'!J135</f>
        <v>463089</v>
      </c>
      <c r="K113" s="648"/>
      <c r="L113" s="776">
        <f t="shared" si="62"/>
        <v>1</v>
      </c>
      <c r="M113" s="776">
        <f t="shared" si="63"/>
        <v>6.3430193489285913E-2</v>
      </c>
      <c r="N113" s="777">
        <f t="shared" si="64"/>
        <v>1</v>
      </c>
      <c r="O113" s="648"/>
      <c r="P113" s="770">
        <f>+'3. Önk. Kiadások'!P135</f>
        <v>300766</v>
      </c>
      <c r="Q113" s="647">
        <f>+'3. Önk. Kiadások'!Q135</f>
        <v>7000000</v>
      </c>
      <c r="R113" s="647">
        <f>+'3. Önk. Kiadások'!R135</f>
        <v>-6837677</v>
      </c>
      <c r="S113" s="647">
        <f>+'3. Önk. Kiadások'!S135</f>
        <v>463089</v>
      </c>
      <c r="T113" s="778">
        <f t="shared" ref="T113:T121" si="74">IF(C113=0,0,+S113/C113)</f>
        <v>0</v>
      </c>
      <c r="U113" s="648"/>
      <c r="V113" s="494"/>
      <c r="W113" s="494"/>
    </row>
    <row r="114" spans="1:23" x14ac:dyDescent="0.25">
      <c r="A114" s="655"/>
      <c r="B114" s="655" t="str">
        <f t="shared" si="73"/>
        <v>Gondozási Központ</v>
      </c>
      <c r="C114" s="770"/>
      <c r="D114" s="647"/>
      <c r="E114" s="647"/>
      <c r="F114" s="775"/>
      <c r="G114" s="647"/>
      <c r="H114" s="770"/>
      <c r="I114" s="647"/>
      <c r="J114" s="647"/>
      <c r="K114" s="647"/>
      <c r="L114" s="776">
        <f t="shared" si="62"/>
        <v>0</v>
      </c>
      <c r="M114" s="776">
        <f t="shared" si="63"/>
        <v>0</v>
      </c>
      <c r="N114" s="777">
        <f t="shared" si="64"/>
        <v>0</v>
      </c>
      <c r="O114" s="647"/>
      <c r="P114" s="770"/>
      <c r="Q114" s="647"/>
      <c r="R114" s="647"/>
      <c r="S114" s="647"/>
      <c r="T114" s="778">
        <f t="shared" si="74"/>
        <v>0</v>
      </c>
      <c r="U114" s="648"/>
      <c r="V114" s="494"/>
      <c r="W114" s="494"/>
    </row>
    <row r="115" spans="1:23" x14ac:dyDescent="0.25">
      <c r="A115" s="593"/>
      <c r="B115" s="655" t="str">
        <f t="shared" si="73"/>
        <v>Csicsergő Napköziotthonos Óvoda</v>
      </c>
      <c r="C115" s="770"/>
      <c r="D115" s="647"/>
      <c r="E115" s="647"/>
      <c r="F115" s="775"/>
      <c r="G115" s="647"/>
      <c r="H115" s="770"/>
      <c r="I115" s="647"/>
      <c r="J115" s="647"/>
      <c r="K115" s="647"/>
      <c r="L115" s="776">
        <f t="shared" si="62"/>
        <v>0</v>
      </c>
      <c r="M115" s="776">
        <f t="shared" si="63"/>
        <v>0</v>
      </c>
      <c r="N115" s="777">
        <f t="shared" si="64"/>
        <v>0</v>
      </c>
      <c r="O115" s="647"/>
      <c r="P115" s="770"/>
      <c r="Q115" s="647"/>
      <c r="R115" s="647"/>
      <c r="S115" s="647"/>
      <c r="T115" s="778">
        <f t="shared" si="74"/>
        <v>0</v>
      </c>
      <c r="U115" s="648"/>
      <c r="V115" s="494"/>
      <c r="W115" s="494"/>
    </row>
    <row r="116" spans="1:23" x14ac:dyDescent="0.25">
      <c r="A116" s="593"/>
      <c r="B116" s="655" t="str">
        <f t="shared" si="73"/>
        <v>Gólyahír Bőlcsőde</v>
      </c>
      <c r="C116" s="770"/>
      <c r="D116" s="647"/>
      <c r="E116" s="647"/>
      <c r="F116" s="775"/>
      <c r="G116" s="647"/>
      <c r="H116" s="770"/>
      <c r="I116" s="647"/>
      <c r="J116" s="647"/>
      <c r="K116" s="647"/>
      <c r="L116" s="776">
        <f t="shared" si="62"/>
        <v>0</v>
      </c>
      <c r="M116" s="776">
        <f t="shared" si="63"/>
        <v>0</v>
      </c>
      <c r="N116" s="777">
        <f t="shared" si="64"/>
        <v>0</v>
      </c>
      <c r="O116" s="647"/>
      <c r="P116" s="770"/>
      <c r="Q116" s="647"/>
      <c r="R116" s="647"/>
      <c r="S116" s="647"/>
      <c r="T116" s="778">
        <f t="shared" si="74"/>
        <v>0</v>
      </c>
      <c r="U116" s="648"/>
      <c r="V116" s="494"/>
      <c r="W116" s="494"/>
    </row>
    <row r="117" spans="1:23" x14ac:dyDescent="0.25">
      <c r="A117" s="593"/>
      <c r="B117" s="655" t="str">
        <f t="shared" si="73"/>
        <v>Polgármesteri Hivatal</v>
      </c>
      <c r="C117" s="770"/>
      <c r="D117" s="647"/>
      <c r="E117" s="647"/>
      <c r="F117" s="775"/>
      <c r="G117" s="647"/>
      <c r="H117" s="770"/>
      <c r="I117" s="647"/>
      <c r="J117" s="647"/>
      <c r="K117" s="647"/>
      <c r="L117" s="776">
        <f t="shared" si="62"/>
        <v>0</v>
      </c>
      <c r="M117" s="776">
        <f t="shared" si="63"/>
        <v>0</v>
      </c>
      <c r="N117" s="777">
        <f t="shared" si="64"/>
        <v>0</v>
      </c>
      <c r="O117" s="647"/>
      <c r="P117" s="770"/>
      <c r="Q117" s="647"/>
      <c r="R117" s="647"/>
      <c r="S117" s="647"/>
      <c r="T117" s="778">
        <f t="shared" si="74"/>
        <v>0</v>
      </c>
      <c r="U117" s="648"/>
      <c r="V117" s="494"/>
      <c r="W117" s="494"/>
    </row>
    <row r="118" spans="1:23" x14ac:dyDescent="0.25">
      <c r="A118" s="593"/>
      <c r="B118" s="655" t="str">
        <f t="shared" si="73"/>
        <v>Wass Albert Művelődési Központ és Könyvtár</v>
      </c>
      <c r="C118" s="770"/>
      <c r="D118" s="647"/>
      <c r="E118" s="647"/>
      <c r="F118" s="775"/>
      <c r="G118" s="647"/>
      <c r="H118" s="770"/>
      <c r="I118" s="647"/>
      <c r="J118" s="647"/>
      <c r="K118" s="647"/>
      <c r="L118" s="776">
        <f t="shared" si="62"/>
        <v>0</v>
      </c>
      <c r="M118" s="776">
        <f t="shared" si="63"/>
        <v>0</v>
      </c>
      <c r="N118" s="777">
        <f t="shared" si="64"/>
        <v>0</v>
      </c>
      <c r="O118" s="647"/>
      <c r="P118" s="770"/>
      <c r="Q118" s="647"/>
      <c r="R118" s="647"/>
      <c r="S118" s="647"/>
      <c r="T118" s="778">
        <f t="shared" si="74"/>
        <v>0</v>
      </c>
      <c r="U118" s="648"/>
      <c r="V118" s="494"/>
      <c r="W118" s="494"/>
    </row>
    <row r="119" spans="1:23" x14ac:dyDescent="0.25">
      <c r="A119" s="593"/>
      <c r="B119" s="655" t="str">
        <f t="shared" si="73"/>
        <v>Központi Konyha</v>
      </c>
      <c r="C119" s="770"/>
      <c r="D119" s="647"/>
      <c r="E119" s="647"/>
      <c r="F119" s="775"/>
      <c r="G119" s="647"/>
      <c r="H119" s="770"/>
      <c r="I119" s="647"/>
      <c r="J119" s="647"/>
      <c r="K119" s="647"/>
      <c r="L119" s="776">
        <f t="shared" si="62"/>
        <v>0</v>
      </c>
      <c r="M119" s="776">
        <f t="shared" si="63"/>
        <v>0</v>
      </c>
      <c r="N119" s="777">
        <f t="shared" si="64"/>
        <v>0</v>
      </c>
      <c r="O119" s="647"/>
      <c r="P119" s="770"/>
      <c r="Q119" s="647"/>
      <c r="R119" s="647"/>
      <c r="S119" s="647"/>
      <c r="T119" s="778">
        <f t="shared" si="74"/>
        <v>0</v>
      </c>
      <c r="U119" s="648"/>
      <c r="V119" s="494"/>
      <c r="W119" s="494"/>
    </row>
    <row r="120" spans="1:23" ht="8.1" customHeight="1" x14ac:dyDescent="0.25">
      <c r="A120" s="593"/>
      <c r="B120" s="779" t="s">
        <v>455</v>
      </c>
      <c r="C120" s="780"/>
      <c r="D120" s="781"/>
      <c r="E120" s="781"/>
      <c r="F120" s="782"/>
      <c r="G120" s="781"/>
      <c r="H120" s="780"/>
      <c r="I120" s="781"/>
      <c r="J120" s="781"/>
      <c r="K120" s="781"/>
      <c r="L120" s="783"/>
      <c r="M120" s="783"/>
      <c r="N120" s="784"/>
      <c r="O120" s="781"/>
      <c r="P120" s="780"/>
      <c r="Q120" s="781"/>
      <c r="R120" s="781"/>
      <c r="S120" s="781"/>
      <c r="T120" s="785"/>
      <c r="U120" s="648"/>
      <c r="V120" s="494"/>
      <c r="W120" s="494"/>
    </row>
    <row r="121" spans="1:23" x14ac:dyDescent="0.25">
      <c r="A121" s="786" t="str">
        <f>+A112</f>
        <v>K8</v>
      </c>
      <c r="B121" s="787" t="s">
        <v>449</v>
      </c>
      <c r="C121" s="788">
        <f>SUM(C113:C120)</f>
        <v>0</v>
      </c>
      <c r="D121" s="789">
        <f t="shared" ref="D121:F121" si="75">SUM(D113:D120)</f>
        <v>300766</v>
      </c>
      <c r="E121" s="789">
        <f t="shared" si="75"/>
        <v>7300766</v>
      </c>
      <c r="F121" s="790">
        <f t="shared" si="75"/>
        <v>463089</v>
      </c>
      <c r="G121" s="789"/>
      <c r="H121" s="788">
        <f>SUM(H113:H120)</f>
        <v>300766</v>
      </c>
      <c r="I121" s="789">
        <f t="shared" ref="I121:J121" si="76">SUM(I113:I120)</f>
        <v>463089</v>
      </c>
      <c r="J121" s="789">
        <f t="shared" si="76"/>
        <v>463089</v>
      </c>
      <c r="K121" s="789"/>
      <c r="L121" s="791">
        <f t="shared" si="62"/>
        <v>1</v>
      </c>
      <c r="M121" s="791">
        <f t="shared" si="63"/>
        <v>6.3430193489285913E-2</v>
      </c>
      <c r="N121" s="792">
        <f t="shared" si="64"/>
        <v>1</v>
      </c>
      <c r="O121" s="789"/>
      <c r="P121" s="788">
        <f>SUM(P113:P120)</f>
        <v>300766</v>
      </c>
      <c r="Q121" s="789">
        <f t="shared" ref="Q121:S121" si="77">SUM(Q113:Q120)</f>
        <v>7000000</v>
      </c>
      <c r="R121" s="789">
        <f t="shared" si="77"/>
        <v>-6837677</v>
      </c>
      <c r="S121" s="789">
        <f t="shared" si="77"/>
        <v>463089</v>
      </c>
      <c r="T121" s="793">
        <f t="shared" si="74"/>
        <v>0</v>
      </c>
      <c r="U121" s="648"/>
      <c r="V121" s="494"/>
      <c r="W121" s="494"/>
    </row>
    <row r="122" spans="1:23" x14ac:dyDescent="0.25">
      <c r="A122" s="593"/>
      <c r="B122" s="593"/>
      <c r="C122" s="796"/>
      <c r="D122" s="653"/>
      <c r="E122" s="653"/>
      <c r="F122" s="797"/>
      <c r="G122" s="653"/>
      <c r="H122" s="796"/>
      <c r="I122" s="653"/>
      <c r="J122" s="653"/>
      <c r="K122" s="653"/>
      <c r="L122" s="776"/>
      <c r="M122" s="776"/>
      <c r="N122" s="777"/>
      <c r="O122" s="653"/>
      <c r="P122" s="796"/>
      <c r="Q122" s="593"/>
      <c r="R122" s="593"/>
      <c r="S122" s="593"/>
      <c r="T122" s="774"/>
      <c r="U122" s="653"/>
      <c r="V122" s="494"/>
      <c r="W122" s="494"/>
    </row>
    <row r="123" spans="1:23" x14ac:dyDescent="0.25">
      <c r="A123" s="593"/>
      <c r="B123" s="593"/>
      <c r="C123" s="796"/>
      <c r="D123" s="653"/>
      <c r="E123" s="653"/>
      <c r="F123" s="797"/>
      <c r="G123" s="653"/>
      <c r="H123" s="796"/>
      <c r="I123" s="653"/>
      <c r="J123" s="653"/>
      <c r="K123" s="653"/>
      <c r="L123" s="776"/>
      <c r="M123" s="776"/>
      <c r="N123" s="777"/>
      <c r="O123" s="653"/>
      <c r="P123" s="796"/>
      <c r="Q123" s="593"/>
      <c r="R123" s="593"/>
      <c r="S123" s="593"/>
      <c r="T123" s="774"/>
      <c r="U123" s="653"/>
      <c r="V123" s="494"/>
      <c r="W123" s="494"/>
    </row>
    <row r="124" spans="1:23" x14ac:dyDescent="0.25">
      <c r="A124" s="656" t="s">
        <v>202</v>
      </c>
      <c r="B124" s="656" t="str">
        <f>+'3. Önk. Kiadások'!B145</f>
        <v>Finanszírozási kiadások</v>
      </c>
      <c r="C124" s="770"/>
      <c r="D124" s="648"/>
      <c r="E124" s="648"/>
      <c r="F124" s="771"/>
      <c r="G124" s="648"/>
      <c r="H124" s="770"/>
      <c r="I124" s="653"/>
      <c r="J124" s="653"/>
      <c r="K124" s="648"/>
      <c r="L124" s="776"/>
      <c r="M124" s="776"/>
      <c r="N124" s="777"/>
      <c r="O124" s="648"/>
      <c r="P124" s="770"/>
      <c r="Q124" s="647"/>
      <c r="R124" s="647"/>
      <c r="S124" s="647"/>
      <c r="T124" s="774"/>
      <c r="U124" s="648"/>
      <c r="V124" s="494"/>
      <c r="W124" s="494"/>
    </row>
    <row r="125" spans="1:23" x14ac:dyDescent="0.25">
      <c r="A125" s="593"/>
      <c r="B125" s="655" t="str">
        <f t="shared" ref="B125:B131" si="78">+B113</f>
        <v>Sülysáp Város Önkormányzata</v>
      </c>
      <c r="C125" s="770">
        <f>+'3. Önk. Kiadások'!C145</f>
        <v>517816126.25</v>
      </c>
      <c r="D125" s="647">
        <f>+'3. Önk. Kiadások'!D145</f>
        <v>523520226</v>
      </c>
      <c r="E125" s="647">
        <f>+'3. Önk. Kiadások'!E145</f>
        <v>523520226</v>
      </c>
      <c r="F125" s="775">
        <f>+'3. Önk. Kiadások'!F145</f>
        <v>516281397</v>
      </c>
      <c r="G125" s="648"/>
      <c r="H125" s="770">
        <f>+'3. Önk. Kiadások'!H145</f>
        <v>271896006</v>
      </c>
      <c r="I125" s="647">
        <f>+'3. Önk. Kiadások'!I145</f>
        <v>392457140</v>
      </c>
      <c r="J125" s="647">
        <f>+'3. Önk. Kiadások'!J145</f>
        <v>516281397</v>
      </c>
      <c r="K125" s="648"/>
      <c r="L125" s="776">
        <f t="shared" si="62"/>
        <v>0.51936103420004254</v>
      </c>
      <c r="M125" s="776">
        <f t="shared" si="63"/>
        <v>0.74965038695563213</v>
      </c>
      <c r="N125" s="777">
        <f t="shared" si="64"/>
        <v>1</v>
      </c>
      <c r="O125" s="648"/>
      <c r="P125" s="770">
        <f>+'3. Önk. Kiadások'!P145</f>
        <v>5704099.75</v>
      </c>
      <c r="Q125" s="647">
        <f>+'3. Önk. Kiadások'!Q145</f>
        <v>0</v>
      </c>
      <c r="R125" s="647">
        <f>+'3. Önk. Kiadások'!R145</f>
        <v>-7238829</v>
      </c>
      <c r="S125" s="647">
        <f>+'3. Önk. Kiadások'!S145</f>
        <v>-1534729.25</v>
      </c>
      <c r="T125" s="778">
        <f t="shared" ref="T125:T133" si="79">IF(C125=0,0,+S125/C125)</f>
        <v>-2.9638498536429078E-3</v>
      </c>
      <c r="U125" s="648"/>
      <c r="V125" s="494"/>
      <c r="W125" s="494"/>
    </row>
    <row r="126" spans="1:23" x14ac:dyDescent="0.25">
      <c r="A126" s="655"/>
      <c r="B126" s="655" t="str">
        <f t="shared" si="78"/>
        <v>Gondozási Központ</v>
      </c>
      <c r="C126" s="770"/>
      <c r="D126" s="647"/>
      <c r="E126" s="647"/>
      <c r="F126" s="775"/>
      <c r="G126" s="647"/>
      <c r="H126" s="770"/>
      <c r="I126" s="647"/>
      <c r="J126" s="647"/>
      <c r="K126" s="647"/>
      <c r="L126" s="776">
        <f t="shared" si="62"/>
        <v>0</v>
      </c>
      <c r="M126" s="776">
        <f t="shared" si="63"/>
        <v>0</v>
      </c>
      <c r="N126" s="777">
        <f t="shared" si="64"/>
        <v>0</v>
      </c>
      <c r="O126" s="647"/>
      <c r="P126" s="770"/>
      <c r="Q126" s="647"/>
      <c r="R126" s="647"/>
      <c r="S126" s="647"/>
      <c r="T126" s="778">
        <f t="shared" si="79"/>
        <v>0</v>
      </c>
      <c r="U126" s="648"/>
      <c r="V126" s="494"/>
      <c r="W126" s="494"/>
    </row>
    <row r="127" spans="1:23" x14ac:dyDescent="0.25">
      <c r="A127" s="593"/>
      <c r="B127" s="655" t="str">
        <f t="shared" si="78"/>
        <v>Csicsergő Napköziotthonos Óvoda</v>
      </c>
      <c r="C127" s="770"/>
      <c r="D127" s="647"/>
      <c r="E127" s="647"/>
      <c r="F127" s="775"/>
      <c r="G127" s="647"/>
      <c r="H127" s="770"/>
      <c r="I127" s="647"/>
      <c r="J127" s="647"/>
      <c r="K127" s="647"/>
      <c r="L127" s="776">
        <f t="shared" si="62"/>
        <v>0</v>
      </c>
      <c r="M127" s="776">
        <f t="shared" si="63"/>
        <v>0</v>
      </c>
      <c r="N127" s="777">
        <f t="shared" si="64"/>
        <v>0</v>
      </c>
      <c r="O127" s="647"/>
      <c r="P127" s="770"/>
      <c r="Q127" s="647"/>
      <c r="R127" s="647"/>
      <c r="S127" s="647"/>
      <c r="T127" s="778">
        <f t="shared" si="79"/>
        <v>0</v>
      </c>
      <c r="U127" s="648"/>
      <c r="V127" s="494"/>
      <c r="W127" s="494"/>
    </row>
    <row r="128" spans="1:23" x14ac:dyDescent="0.25">
      <c r="A128" s="593"/>
      <c r="B128" s="655" t="str">
        <f t="shared" si="78"/>
        <v>Gólyahír Bőlcsőde</v>
      </c>
      <c r="C128" s="770"/>
      <c r="D128" s="647"/>
      <c r="E128" s="647"/>
      <c r="F128" s="775"/>
      <c r="G128" s="647"/>
      <c r="H128" s="770"/>
      <c r="I128" s="647"/>
      <c r="J128" s="647"/>
      <c r="K128" s="647"/>
      <c r="L128" s="776">
        <f t="shared" si="62"/>
        <v>0</v>
      </c>
      <c r="M128" s="776">
        <f t="shared" si="63"/>
        <v>0</v>
      </c>
      <c r="N128" s="777">
        <f t="shared" si="64"/>
        <v>0</v>
      </c>
      <c r="O128" s="647"/>
      <c r="P128" s="770"/>
      <c r="Q128" s="647"/>
      <c r="R128" s="647"/>
      <c r="S128" s="647"/>
      <c r="T128" s="778">
        <f t="shared" si="79"/>
        <v>0</v>
      </c>
      <c r="U128" s="648"/>
      <c r="V128" s="494"/>
      <c r="W128" s="494"/>
    </row>
    <row r="129" spans="1:23" x14ac:dyDescent="0.25">
      <c r="A129" s="593"/>
      <c r="B129" s="655" t="str">
        <f t="shared" si="78"/>
        <v>Polgármesteri Hivatal</v>
      </c>
      <c r="C129" s="770"/>
      <c r="D129" s="647"/>
      <c r="E129" s="647"/>
      <c r="F129" s="775"/>
      <c r="G129" s="647"/>
      <c r="H129" s="770"/>
      <c r="I129" s="647"/>
      <c r="J129" s="647"/>
      <c r="K129" s="647"/>
      <c r="L129" s="776">
        <f t="shared" si="62"/>
        <v>0</v>
      </c>
      <c r="M129" s="776">
        <f t="shared" si="63"/>
        <v>0</v>
      </c>
      <c r="N129" s="777">
        <f t="shared" si="64"/>
        <v>0</v>
      </c>
      <c r="O129" s="647"/>
      <c r="P129" s="770"/>
      <c r="Q129" s="647"/>
      <c r="R129" s="647"/>
      <c r="S129" s="647"/>
      <c r="T129" s="778">
        <f t="shared" si="79"/>
        <v>0</v>
      </c>
      <c r="U129" s="648"/>
      <c r="V129" s="494"/>
      <c r="W129" s="494"/>
    </row>
    <row r="130" spans="1:23" x14ac:dyDescent="0.25">
      <c r="A130" s="593"/>
      <c r="B130" s="655" t="str">
        <f t="shared" si="78"/>
        <v>Wass Albert Művelődési Központ és Könyvtár</v>
      </c>
      <c r="C130" s="770"/>
      <c r="D130" s="647"/>
      <c r="E130" s="647"/>
      <c r="F130" s="775"/>
      <c r="G130" s="647"/>
      <c r="H130" s="770"/>
      <c r="I130" s="647"/>
      <c r="J130" s="647"/>
      <c r="K130" s="647"/>
      <c r="L130" s="776">
        <f t="shared" si="62"/>
        <v>0</v>
      </c>
      <c r="M130" s="776">
        <f t="shared" si="63"/>
        <v>0</v>
      </c>
      <c r="N130" s="777">
        <f t="shared" si="64"/>
        <v>0</v>
      </c>
      <c r="O130" s="647"/>
      <c r="P130" s="770"/>
      <c r="Q130" s="647"/>
      <c r="R130" s="647"/>
      <c r="S130" s="647"/>
      <c r="T130" s="778">
        <f t="shared" si="79"/>
        <v>0</v>
      </c>
      <c r="U130" s="648"/>
      <c r="V130" s="494"/>
      <c r="W130" s="494"/>
    </row>
    <row r="131" spans="1:23" x14ac:dyDescent="0.25">
      <c r="A131" s="593"/>
      <c r="B131" s="655" t="str">
        <f t="shared" si="78"/>
        <v>Központi Konyha</v>
      </c>
      <c r="C131" s="770"/>
      <c r="D131" s="647"/>
      <c r="E131" s="647"/>
      <c r="F131" s="775"/>
      <c r="G131" s="647"/>
      <c r="H131" s="770"/>
      <c r="I131" s="647"/>
      <c r="J131" s="647"/>
      <c r="K131" s="647"/>
      <c r="L131" s="776">
        <f t="shared" si="62"/>
        <v>0</v>
      </c>
      <c r="M131" s="776">
        <f t="shared" si="63"/>
        <v>0</v>
      </c>
      <c r="N131" s="777">
        <f t="shared" si="64"/>
        <v>0</v>
      </c>
      <c r="O131" s="647"/>
      <c r="P131" s="770"/>
      <c r="Q131" s="647"/>
      <c r="R131" s="647"/>
      <c r="S131" s="647"/>
      <c r="T131" s="778">
        <f t="shared" si="79"/>
        <v>0</v>
      </c>
      <c r="U131" s="648"/>
      <c r="V131" s="494"/>
      <c r="W131" s="494"/>
    </row>
    <row r="132" spans="1:23" ht="8.1" customHeight="1" x14ac:dyDescent="0.25">
      <c r="A132" s="593"/>
      <c r="B132" s="779" t="s">
        <v>455</v>
      </c>
      <c r="C132" s="780"/>
      <c r="D132" s="781"/>
      <c r="E132" s="781"/>
      <c r="F132" s="782"/>
      <c r="G132" s="781"/>
      <c r="H132" s="780"/>
      <c r="I132" s="781"/>
      <c r="J132" s="781"/>
      <c r="K132" s="781"/>
      <c r="L132" s="783"/>
      <c r="M132" s="783"/>
      <c r="N132" s="784"/>
      <c r="O132" s="781"/>
      <c r="P132" s="780"/>
      <c r="Q132" s="781"/>
      <c r="R132" s="781"/>
      <c r="S132" s="781"/>
      <c r="T132" s="785"/>
      <c r="U132" s="648"/>
      <c r="V132" s="494"/>
      <c r="W132" s="494"/>
    </row>
    <row r="133" spans="1:23" x14ac:dyDescent="0.25">
      <c r="A133" s="786" t="str">
        <f>+A124</f>
        <v>K9</v>
      </c>
      <c r="B133" s="787" t="s">
        <v>449</v>
      </c>
      <c r="C133" s="788">
        <f>SUM(C125:C132)</f>
        <v>517816126.25</v>
      </c>
      <c r="D133" s="789">
        <f t="shared" ref="D133:F133" si="80">SUM(D125:D132)</f>
        <v>523520226</v>
      </c>
      <c r="E133" s="789">
        <f t="shared" si="80"/>
        <v>523520226</v>
      </c>
      <c r="F133" s="790">
        <f t="shared" si="80"/>
        <v>516281397</v>
      </c>
      <c r="G133" s="789"/>
      <c r="H133" s="788">
        <f>SUM(H125:H132)</f>
        <v>271896006</v>
      </c>
      <c r="I133" s="789">
        <f t="shared" ref="I133:J133" si="81">SUM(I125:I132)</f>
        <v>392457140</v>
      </c>
      <c r="J133" s="789">
        <f t="shared" si="81"/>
        <v>516281397</v>
      </c>
      <c r="K133" s="789"/>
      <c r="L133" s="791">
        <f t="shared" si="62"/>
        <v>0.51936103420004254</v>
      </c>
      <c r="M133" s="791">
        <f t="shared" si="63"/>
        <v>0.74965038695563213</v>
      </c>
      <c r="N133" s="792">
        <f t="shared" si="64"/>
        <v>1</v>
      </c>
      <c r="O133" s="789"/>
      <c r="P133" s="788">
        <f>SUM(P125:P132)</f>
        <v>5704099.75</v>
      </c>
      <c r="Q133" s="789">
        <f t="shared" ref="Q133:S133" si="82">SUM(Q125:Q132)</f>
        <v>0</v>
      </c>
      <c r="R133" s="789">
        <f t="shared" si="82"/>
        <v>-7238829</v>
      </c>
      <c r="S133" s="789">
        <f t="shared" si="82"/>
        <v>-1534729.25</v>
      </c>
      <c r="T133" s="793">
        <f t="shared" si="79"/>
        <v>-2.9638498536429078E-3</v>
      </c>
      <c r="U133" s="648"/>
      <c r="V133" s="494"/>
      <c r="W133" s="494"/>
    </row>
    <row r="134" spans="1:23" x14ac:dyDescent="0.25">
      <c r="A134" s="593"/>
      <c r="B134" s="593"/>
      <c r="C134" s="796"/>
      <c r="D134" s="653"/>
      <c r="E134" s="653"/>
      <c r="F134" s="797"/>
      <c r="G134" s="653"/>
      <c r="H134" s="796"/>
      <c r="I134" s="653"/>
      <c r="J134" s="653"/>
      <c r="K134" s="653"/>
      <c r="L134" s="776"/>
      <c r="M134" s="776"/>
      <c r="N134" s="777"/>
      <c r="O134" s="653"/>
      <c r="P134" s="796"/>
      <c r="Q134" s="593"/>
      <c r="R134" s="593"/>
      <c r="S134" s="593"/>
      <c r="T134" s="794"/>
      <c r="U134" s="653"/>
      <c r="V134" s="494"/>
      <c r="W134" s="494"/>
    </row>
    <row r="135" spans="1:23" x14ac:dyDescent="0.25">
      <c r="A135" s="593"/>
      <c r="B135" s="593"/>
      <c r="C135" s="796"/>
      <c r="D135" s="653"/>
      <c r="E135" s="653"/>
      <c r="F135" s="797"/>
      <c r="G135" s="653"/>
      <c r="H135" s="796"/>
      <c r="I135" s="653"/>
      <c r="J135" s="653"/>
      <c r="K135" s="653"/>
      <c r="L135" s="776"/>
      <c r="M135" s="776"/>
      <c r="N135" s="777"/>
      <c r="O135" s="653"/>
      <c r="P135" s="796"/>
      <c r="Q135" s="593"/>
      <c r="R135" s="593"/>
      <c r="S135" s="593"/>
      <c r="T135" s="794"/>
      <c r="U135" s="653"/>
      <c r="V135" s="494"/>
      <c r="W135" s="494"/>
    </row>
    <row r="136" spans="1:23" x14ac:dyDescent="0.25">
      <c r="A136" s="656" t="s">
        <v>361</v>
      </c>
      <c r="B136" s="656" t="str">
        <f>+'4. Dr Gáspár HSZK'!B100</f>
        <v>Központi, irányító szervi támogatás</v>
      </c>
      <c r="C136" s="798" t="s">
        <v>451</v>
      </c>
      <c r="D136" s="648"/>
      <c r="E136" s="648"/>
      <c r="F136" s="771"/>
      <c r="G136" s="648"/>
      <c r="H136" s="770"/>
      <c r="I136" s="653"/>
      <c r="J136" s="653"/>
      <c r="K136" s="648"/>
      <c r="L136" s="776"/>
      <c r="M136" s="776"/>
      <c r="N136" s="777"/>
      <c r="O136" s="648"/>
      <c r="P136" s="770"/>
      <c r="Q136" s="647"/>
      <c r="R136" s="647"/>
      <c r="S136" s="647"/>
      <c r="T136" s="794"/>
      <c r="U136" s="648"/>
      <c r="V136" s="494"/>
      <c r="W136" s="494"/>
    </row>
    <row r="137" spans="1:23" x14ac:dyDescent="0.25">
      <c r="A137" s="593"/>
      <c r="B137" s="655" t="str">
        <f t="shared" ref="B137:B143" si="83">+B125</f>
        <v>Sülysáp Város Önkormányzata</v>
      </c>
      <c r="C137" s="770"/>
      <c r="D137" s="647"/>
      <c r="E137" s="647"/>
      <c r="F137" s="775"/>
      <c r="G137" s="648"/>
      <c r="H137" s="770"/>
      <c r="I137" s="647"/>
      <c r="J137" s="647"/>
      <c r="K137" s="648"/>
      <c r="L137" s="776"/>
      <c r="M137" s="776"/>
      <c r="N137" s="777"/>
      <c r="O137" s="648"/>
      <c r="P137" s="770"/>
      <c r="Q137" s="647"/>
      <c r="R137" s="647"/>
      <c r="S137" s="647"/>
      <c r="T137" s="778"/>
      <c r="U137" s="648"/>
      <c r="V137" s="494"/>
      <c r="W137" s="494"/>
    </row>
    <row r="138" spans="1:23" x14ac:dyDescent="0.25">
      <c r="A138" s="655"/>
      <c r="B138" s="655" t="str">
        <f t="shared" si="83"/>
        <v>Gondozási Központ</v>
      </c>
      <c r="C138" s="770">
        <f>+'4. Dr Gáspár HSZK'!C100</f>
        <v>27645188</v>
      </c>
      <c r="D138" s="647">
        <f>+'4. Dr Gáspár HSZK'!D100</f>
        <v>27645188</v>
      </c>
      <c r="E138" s="647">
        <f>+'4. Dr Gáspár HSZK'!E100</f>
        <v>27645188</v>
      </c>
      <c r="F138" s="775">
        <f>+'4. Dr Gáspár HSZK'!F100</f>
        <v>29194217</v>
      </c>
      <c r="G138" s="647"/>
      <c r="H138" s="770">
        <f>+'4. Dr Gáspár HSZK'!H100</f>
        <v>16415669</v>
      </c>
      <c r="I138" s="647">
        <f>+'4. Dr Gáspár HSZK'!I100</f>
        <v>22839221</v>
      </c>
      <c r="J138" s="647">
        <f>+'4. Dr Gáspár HSZK'!J100</f>
        <v>29194217</v>
      </c>
      <c r="K138" s="647"/>
      <c r="L138" s="776">
        <f t="shared" si="62"/>
        <v>0.59379842162766261</v>
      </c>
      <c r="M138" s="776">
        <f t="shared" si="63"/>
        <v>0.82615538733178451</v>
      </c>
      <c r="N138" s="777">
        <f t="shared" si="64"/>
        <v>1</v>
      </c>
      <c r="O138" s="647"/>
      <c r="P138" s="770">
        <f>+'4. Dr Gáspár HSZK'!P100</f>
        <v>0</v>
      </c>
      <c r="Q138" s="647">
        <f>+'4. Dr Gáspár HSZK'!Q100</f>
        <v>0</v>
      </c>
      <c r="R138" s="647">
        <f>+'4. Dr Gáspár HSZK'!R100</f>
        <v>1549029</v>
      </c>
      <c r="S138" s="647">
        <f>+'4. Dr Gáspár HSZK'!S100</f>
        <v>1549029</v>
      </c>
      <c r="T138" s="778">
        <f t="shared" ref="T138:T145" si="84">IF(C138=0,0,+S138/C138)</f>
        <v>5.6032500122625319E-2</v>
      </c>
      <c r="U138" s="648"/>
      <c r="V138" s="494"/>
      <c r="W138" s="494"/>
    </row>
    <row r="139" spans="1:23" x14ac:dyDescent="0.25">
      <c r="A139" s="593"/>
      <c r="B139" s="655" t="str">
        <f t="shared" si="83"/>
        <v>Csicsergő Napköziotthonos Óvoda</v>
      </c>
      <c r="C139" s="770">
        <f>+'5. Csicsergő'!C100</f>
        <v>195602326</v>
      </c>
      <c r="D139" s="647">
        <f>+'5. Csicsergő'!D100</f>
        <v>195602326</v>
      </c>
      <c r="E139" s="647">
        <f>+'5. Csicsergő'!E100</f>
        <v>195602326</v>
      </c>
      <c r="F139" s="775">
        <f>+'5. Csicsergő'!F100</f>
        <v>190771427</v>
      </c>
      <c r="G139" s="647"/>
      <c r="H139" s="770">
        <f>+'5. Csicsergő'!H100</f>
        <v>94292856</v>
      </c>
      <c r="I139" s="647">
        <f>+'5. Csicsergő'!I100</f>
        <v>140672813</v>
      </c>
      <c r="J139" s="647">
        <f>+'5. Csicsergő'!J100</f>
        <v>190771427</v>
      </c>
      <c r="K139" s="647"/>
      <c r="L139" s="776">
        <f t="shared" si="62"/>
        <v>0.48206408343017354</v>
      </c>
      <c r="M139" s="776">
        <f t="shared" si="63"/>
        <v>0.71917760834807254</v>
      </c>
      <c r="N139" s="777">
        <f t="shared" si="64"/>
        <v>1</v>
      </c>
      <c r="O139" s="647"/>
      <c r="P139" s="770">
        <f>+'5. Csicsergő'!P100</f>
        <v>0</v>
      </c>
      <c r="Q139" s="647">
        <f>+'5. Csicsergő'!Q100</f>
        <v>0</v>
      </c>
      <c r="R139" s="647">
        <f>+'5. Csicsergő'!R100</f>
        <v>-4830899</v>
      </c>
      <c r="S139" s="647">
        <f>+'5. Csicsergő'!S100</f>
        <v>-4830899</v>
      </c>
      <c r="T139" s="778">
        <f t="shared" si="84"/>
        <v>-2.4697553954445308E-2</v>
      </c>
      <c r="U139" s="648"/>
      <c r="V139" s="494"/>
      <c r="W139" s="494"/>
    </row>
    <row r="140" spans="1:23" x14ac:dyDescent="0.25">
      <c r="A140" s="593"/>
      <c r="B140" s="655" t="str">
        <f t="shared" si="83"/>
        <v>Gólyahír Bőlcsőde</v>
      </c>
      <c r="C140" s="770">
        <f>+'6. Gólyahír'!C100</f>
        <v>50869358</v>
      </c>
      <c r="D140" s="647">
        <f>+'6. Gólyahír'!D100</f>
        <v>50869358</v>
      </c>
      <c r="E140" s="647">
        <f>+'6. Gólyahír'!E100</f>
        <v>50869358</v>
      </c>
      <c r="F140" s="775">
        <f>+'6. Gólyahír'!F100</f>
        <v>53185452</v>
      </c>
      <c r="G140" s="647"/>
      <c r="H140" s="770">
        <f>+'6. Gólyahír'!H100</f>
        <v>26320166</v>
      </c>
      <c r="I140" s="647">
        <f>+'6. Gólyahír'!I100</f>
        <v>38666345</v>
      </c>
      <c r="J140" s="647">
        <f>+'6. Gólyahír'!J100</f>
        <v>53185452</v>
      </c>
      <c r="K140" s="647"/>
      <c r="L140" s="776">
        <f t="shared" si="62"/>
        <v>0.51740708030952542</v>
      </c>
      <c r="M140" s="776">
        <f t="shared" si="63"/>
        <v>0.76011073306645627</v>
      </c>
      <c r="N140" s="777">
        <f t="shared" si="64"/>
        <v>1</v>
      </c>
      <c r="O140" s="647"/>
      <c r="P140" s="770">
        <f>+'6. Gólyahír'!P100</f>
        <v>0</v>
      </c>
      <c r="Q140" s="647">
        <f>+'6. Gólyahír'!Q100</f>
        <v>0</v>
      </c>
      <c r="R140" s="647">
        <f>+'6. Gólyahír'!R100</f>
        <v>2316094</v>
      </c>
      <c r="S140" s="647">
        <f>+'6. Gólyahír'!S100</f>
        <v>2316094</v>
      </c>
      <c r="T140" s="778">
        <f t="shared" si="84"/>
        <v>4.5530238459073925E-2</v>
      </c>
      <c r="U140" s="648"/>
      <c r="V140" s="494"/>
      <c r="W140" s="494"/>
    </row>
    <row r="141" spans="1:23" x14ac:dyDescent="0.25">
      <c r="A141" s="593"/>
      <c r="B141" s="655" t="str">
        <f t="shared" si="83"/>
        <v>Polgármesteri Hivatal</v>
      </c>
      <c r="C141" s="770">
        <f>+'7. Polg.Hiv.'!C100</f>
        <v>125499790</v>
      </c>
      <c r="D141" s="647">
        <f>+'7. Polg.Hiv.'!D100</f>
        <v>126441390</v>
      </c>
      <c r="E141" s="647">
        <f>+'7. Polg.Hiv.'!E100</f>
        <v>126441390</v>
      </c>
      <c r="F141" s="775">
        <f>+'7. Polg.Hiv.'!F100</f>
        <v>122356076</v>
      </c>
      <c r="G141" s="647"/>
      <c r="H141" s="770">
        <f>+'7. Polg.Hiv.'!H100</f>
        <v>61801658</v>
      </c>
      <c r="I141" s="647">
        <f>+'7. Polg.Hiv.'!I100</f>
        <v>91982568</v>
      </c>
      <c r="J141" s="647">
        <f>+'7. Polg.Hiv.'!J100</f>
        <v>122356076</v>
      </c>
      <c r="K141" s="647"/>
      <c r="L141" s="776">
        <f t="shared" si="62"/>
        <v>0.48877711641733773</v>
      </c>
      <c r="M141" s="776">
        <f t="shared" si="63"/>
        <v>0.72747197733273894</v>
      </c>
      <c r="N141" s="777">
        <f t="shared" si="64"/>
        <v>1</v>
      </c>
      <c r="O141" s="647"/>
      <c r="P141" s="770">
        <f>+'7. Polg.Hiv.'!P100</f>
        <v>941600</v>
      </c>
      <c r="Q141" s="647">
        <f>+'7. Polg.Hiv.'!Q100</f>
        <v>0</v>
      </c>
      <c r="R141" s="647">
        <f>+'7. Polg.Hiv.'!R100</f>
        <v>-4085314</v>
      </c>
      <c r="S141" s="647">
        <f>+'7. Polg.Hiv.'!S100</f>
        <v>-3143714</v>
      </c>
      <c r="T141" s="778">
        <f t="shared" si="84"/>
        <v>-2.5049555859814585E-2</v>
      </c>
      <c r="U141" s="648"/>
      <c r="V141" s="494"/>
      <c r="W141" s="494"/>
    </row>
    <row r="142" spans="1:23" x14ac:dyDescent="0.25">
      <c r="A142" s="593"/>
      <c r="B142" s="655" t="str">
        <f t="shared" si="83"/>
        <v>Wass Albert Művelődési Központ és Könyvtár</v>
      </c>
      <c r="C142" s="770">
        <f>+'8. WAMKK'!C100</f>
        <v>31393194</v>
      </c>
      <c r="D142" s="647">
        <f>+'8. WAMKK'!D100</f>
        <v>31393194</v>
      </c>
      <c r="E142" s="647">
        <f>+'8. WAMKK'!E100</f>
        <v>31393194</v>
      </c>
      <c r="F142" s="775">
        <f>+'8. WAMKK'!F100</f>
        <v>27676474</v>
      </c>
      <c r="G142" s="647"/>
      <c r="H142" s="770">
        <f>+'8. WAMKK'!H100</f>
        <v>14273037</v>
      </c>
      <c r="I142" s="647">
        <f>+'8. WAMKK'!I100</f>
        <v>22420772</v>
      </c>
      <c r="J142" s="647">
        <f>+'8. WAMKK'!J100</f>
        <v>27676474</v>
      </c>
      <c r="K142" s="647"/>
      <c r="L142" s="776">
        <f t="shared" si="62"/>
        <v>0.45465386542063863</v>
      </c>
      <c r="M142" s="776">
        <f t="shared" si="63"/>
        <v>0.71419212712156654</v>
      </c>
      <c r="N142" s="777">
        <f t="shared" si="64"/>
        <v>1</v>
      </c>
      <c r="O142" s="647"/>
      <c r="P142" s="770">
        <f>+'8. WAMKK'!P100</f>
        <v>0</v>
      </c>
      <c r="Q142" s="647">
        <f>+'8. WAMKK'!Q100</f>
        <v>0</v>
      </c>
      <c r="R142" s="647">
        <f>+'8. WAMKK'!R100</f>
        <v>-3716720</v>
      </c>
      <c r="S142" s="647">
        <f>+'8. WAMKK'!S100</f>
        <v>-3716720</v>
      </c>
      <c r="T142" s="778">
        <f t="shared" si="84"/>
        <v>-0.11839254075262301</v>
      </c>
      <c r="U142" s="648"/>
      <c r="V142" s="494"/>
      <c r="W142" s="494"/>
    </row>
    <row r="143" spans="1:23" x14ac:dyDescent="0.25">
      <c r="A143" s="593"/>
      <c r="B143" s="655" t="str">
        <f t="shared" si="83"/>
        <v>Központi Konyha</v>
      </c>
      <c r="C143" s="770">
        <f>+'9. Közp. Konyha'!C100</f>
        <v>68143642.25</v>
      </c>
      <c r="D143" s="647">
        <f>+'9. Közp. Konyha'!D100</f>
        <v>72906142</v>
      </c>
      <c r="E143" s="647">
        <f>+'9. Közp. Konyha'!E100</f>
        <v>72906142</v>
      </c>
      <c r="F143" s="775">
        <f>+'9. Közp. Konyha'!F100</f>
        <v>74435123</v>
      </c>
      <c r="G143" s="647"/>
      <c r="H143" s="770">
        <f>+'9. Közp. Konyha'!H100</f>
        <v>40129992</v>
      </c>
      <c r="I143" s="647">
        <f>+'9. Közp. Konyha'!I100</f>
        <v>57212793</v>
      </c>
      <c r="J143" s="647">
        <f>+'9. Közp. Konyha'!J100</f>
        <v>74435123</v>
      </c>
      <c r="K143" s="647"/>
      <c r="L143" s="776">
        <f t="shared" si="62"/>
        <v>0.55043362464578083</v>
      </c>
      <c r="M143" s="776">
        <f t="shared" si="63"/>
        <v>0.78474585858623547</v>
      </c>
      <c r="N143" s="777">
        <f t="shared" si="64"/>
        <v>1</v>
      </c>
      <c r="O143" s="647"/>
      <c r="P143" s="770">
        <f>+'9. Közp. Konyha'!P100</f>
        <v>4762499.75</v>
      </c>
      <c r="Q143" s="647">
        <f>+'9. Közp. Konyha'!Q100</f>
        <v>0</v>
      </c>
      <c r="R143" s="647">
        <f>+'9. Közp. Konyha'!R100</f>
        <v>1528981</v>
      </c>
      <c r="S143" s="647">
        <f>+'9. Közp. Konyha'!S100</f>
        <v>6291480.75</v>
      </c>
      <c r="T143" s="778">
        <f t="shared" si="84"/>
        <v>9.2326746006888116E-2</v>
      </c>
      <c r="U143" s="648"/>
      <c r="V143" s="494"/>
      <c r="W143" s="494"/>
    </row>
    <row r="144" spans="1:23" ht="8.1" customHeight="1" x14ac:dyDescent="0.25">
      <c r="A144" s="593"/>
      <c r="B144" s="779" t="s">
        <v>455</v>
      </c>
      <c r="C144" s="780"/>
      <c r="D144" s="781"/>
      <c r="E144" s="781"/>
      <c r="F144" s="782"/>
      <c r="G144" s="781"/>
      <c r="H144" s="780"/>
      <c r="I144" s="781"/>
      <c r="J144" s="781"/>
      <c r="K144" s="781"/>
      <c r="L144" s="783"/>
      <c r="M144" s="783"/>
      <c r="N144" s="784"/>
      <c r="O144" s="781"/>
      <c r="P144" s="780"/>
      <c r="Q144" s="781"/>
      <c r="R144" s="781"/>
      <c r="S144" s="781"/>
      <c r="T144" s="781"/>
      <c r="U144" s="648"/>
      <c r="V144" s="494"/>
      <c r="W144" s="494"/>
    </row>
    <row r="145" spans="1:23" x14ac:dyDescent="0.25">
      <c r="A145" s="786" t="str">
        <f>+A136</f>
        <v>B816</v>
      </c>
      <c r="B145" s="787" t="s">
        <v>449</v>
      </c>
      <c r="C145" s="788">
        <f>SUM(C137:C144)</f>
        <v>499153498.25</v>
      </c>
      <c r="D145" s="789">
        <f t="shared" ref="D145:F145" si="85">SUM(D137:D144)</f>
        <v>504857598</v>
      </c>
      <c r="E145" s="789">
        <f t="shared" si="85"/>
        <v>504857598</v>
      </c>
      <c r="F145" s="790">
        <f t="shared" si="85"/>
        <v>497618769</v>
      </c>
      <c r="G145" s="789"/>
      <c r="H145" s="788">
        <f>SUM(H137:H144)</f>
        <v>253233378</v>
      </c>
      <c r="I145" s="789">
        <f t="shared" ref="I145:J145" si="86">SUM(I137:I144)</f>
        <v>373794512</v>
      </c>
      <c r="J145" s="789">
        <f t="shared" si="86"/>
        <v>497618769</v>
      </c>
      <c r="K145" s="789"/>
      <c r="L145" s="791">
        <f t="shared" si="62"/>
        <v>0.50159367513371567</v>
      </c>
      <c r="M145" s="791">
        <f t="shared" si="63"/>
        <v>0.74039593239913959</v>
      </c>
      <c r="N145" s="792">
        <f t="shared" si="64"/>
        <v>1</v>
      </c>
      <c r="O145" s="789"/>
      <c r="P145" s="788">
        <f>SUM(P137:P144)</f>
        <v>5704099.75</v>
      </c>
      <c r="Q145" s="789">
        <f t="shared" ref="Q145:S145" si="87">SUM(Q137:Q144)</f>
        <v>0</v>
      </c>
      <c r="R145" s="789">
        <f t="shared" si="87"/>
        <v>-7238829</v>
      </c>
      <c r="S145" s="789">
        <f t="shared" si="87"/>
        <v>-1534729.25</v>
      </c>
      <c r="T145" s="793">
        <f t="shared" si="84"/>
        <v>-3.0746639167724193E-3</v>
      </c>
      <c r="U145" s="648"/>
      <c r="V145" s="494"/>
      <c r="W145" s="494"/>
    </row>
    <row r="146" spans="1:23" x14ac:dyDescent="0.25">
      <c r="A146" s="593"/>
      <c r="B146" s="593"/>
      <c r="C146" s="799"/>
      <c r="D146" s="800"/>
      <c r="E146" s="800"/>
      <c r="F146" s="801"/>
      <c r="G146" s="653"/>
      <c r="H146" s="799"/>
      <c r="I146" s="800"/>
      <c r="J146" s="800"/>
      <c r="K146" s="800"/>
      <c r="L146" s="802"/>
      <c r="M146" s="802"/>
      <c r="N146" s="803"/>
      <c r="O146" s="653"/>
      <c r="P146" s="799"/>
      <c r="Q146" s="804"/>
      <c r="R146" s="804"/>
      <c r="S146" s="804"/>
      <c r="T146" s="805"/>
      <c r="U146" s="653"/>
      <c r="V146" s="494"/>
      <c r="W146" s="494"/>
    </row>
    <row r="147" spans="1:23" x14ac:dyDescent="0.25">
      <c r="A147" s="593"/>
      <c r="B147" s="593"/>
      <c r="C147" s="593"/>
      <c r="D147" s="653"/>
      <c r="E147" s="653"/>
      <c r="F147" s="653"/>
      <c r="G147" s="653"/>
      <c r="H147" s="593"/>
      <c r="I147" s="653"/>
      <c r="J147" s="653"/>
      <c r="K147" s="653"/>
      <c r="L147" s="772"/>
      <c r="M147" s="772"/>
      <c r="N147" s="772"/>
      <c r="O147" s="653"/>
      <c r="P147" s="593"/>
      <c r="Q147" s="593"/>
      <c r="R147" s="593"/>
      <c r="S147" s="593"/>
      <c r="T147" s="593"/>
      <c r="U147" s="653"/>
      <c r="V147" s="494"/>
      <c r="W147" s="494"/>
    </row>
    <row r="148" spans="1:23" x14ac:dyDescent="0.25">
      <c r="A148" s="593"/>
      <c r="B148" s="593"/>
      <c r="C148" s="593"/>
      <c r="D148" s="653"/>
      <c r="E148" s="653"/>
      <c r="F148" s="653"/>
      <c r="G148" s="653"/>
      <c r="H148" s="593"/>
      <c r="I148" s="653"/>
      <c r="J148" s="653"/>
      <c r="K148" s="653"/>
      <c r="L148" s="772"/>
      <c r="M148" s="772"/>
      <c r="N148" s="772"/>
      <c r="O148" s="653"/>
      <c r="P148" s="593"/>
      <c r="Q148" s="593"/>
      <c r="R148" s="593"/>
      <c r="S148" s="593"/>
      <c r="T148" s="593"/>
      <c r="U148" s="653"/>
      <c r="V148" s="494"/>
      <c r="W148" s="494"/>
    </row>
    <row r="149" spans="1:23" x14ac:dyDescent="0.25">
      <c r="L149" s="485"/>
      <c r="M149" s="485"/>
      <c r="N149" s="485"/>
    </row>
    <row r="150" spans="1:23" x14ac:dyDescent="0.25">
      <c r="L150" s="485"/>
      <c r="M150" s="485"/>
      <c r="N150" s="485"/>
    </row>
    <row r="151" spans="1:23" x14ac:dyDescent="0.25">
      <c r="L151" s="485"/>
      <c r="M151" s="485"/>
      <c r="N151" s="485"/>
    </row>
    <row r="152" spans="1:23" x14ac:dyDescent="0.25">
      <c r="L152" s="485"/>
      <c r="M152" s="485"/>
      <c r="N152" s="485"/>
    </row>
    <row r="153" spans="1:23" x14ac:dyDescent="0.25">
      <c r="L153" s="485"/>
      <c r="M153" s="485"/>
      <c r="N153" s="485"/>
    </row>
    <row r="154" spans="1:23" x14ac:dyDescent="0.25">
      <c r="L154" s="485"/>
      <c r="M154" s="485"/>
      <c r="N154" s="485"/>
    </row>
    <row r="155" spans="1:23" x14ac:dyDescent="0.25">
      <c r="L155" s="485"/>
      <c r="M155" s="485"/>
      <c r="N155" s="485"/>
    </row>
    <row r="156" spans="1:23" x14ac:dyDescent="0.25">
      <c r="L156" s="485"/>
      <c r="M156" s="485"/>
      <c r="N156" s="485"/>
    </row>
    <row r="157" spans="1:23" x14ac:dyDescent="0.25">
      <c r="L157" s="485"/>
      <c r="M157" s="485"/>
      <c r="N157" s="485"/>
    </row>
    <row r="158" spans="1:23" x14ac:dyDescent="0.25">
      <c r="L158" s="485"/>
      <c r="M158" s="485"/>
      <c r="N158" s="485"/>
    </row>
    <row r="159" spans="1:23" x14ac:dyDescent="0.25">
      <c r="L159" s="485"/>
      <c r="M159" s="485"/>
      <c r="N159" s="485"/>
    </row>
    <row r="160" spans="1:23" x14ac:dyDescent="0.25">
      <c r="L160" s="485"/>
      <c r="M160" s="485"/>
      <c r="N160" s="485"/>
    </row>
  </sheetData>
  <mergeCells count="5">
    <mergeCell ref="C7:F7"/>
    <mergeCell ref="H7:N7"/>
    <mergeCell ref="P7:T7"/>
    <mergeCell ref="H8:J8"/>
    <mergeCell ref="L8:N8"/>
  </mergeCells>
  <printOptions horizontalCentered="1"/>
  <pageMargins left="0" right="0" top="0.94488188976377963" bottom="0.74803149606299213" header="0.31496062992125984" footer="0.31496062992125984"/>
  <pageSetup paperSize="8" scale="79" fitToHeight="0" orientation="landscape" r:id="rId1"/>
  <headerFooter>
    <oddHeader>&amp;R&amp;"Arial,Félkövér dőlt"&amp;A  /&amp;"Arial,Normál"
&amp;"Arial,Dőlt"&amp;8&amp;F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2"/>
  <sheetViews>
    <sheetView view="pageBreakPreview" zoomScale="75" zoomScaleNormal="75" zoomScaleSheetLayoutView="75" workbookViewId="0">
      <selection activeCell="V2" sqref="V2:V4"/>
    </sheetView>
  </sheetViews>
  <sheetFormatPr defaultRowHeight="13.2" x14ac:dyDescent="0.25"/>
  <cols>
    <col min="1" max="1" width="8.5546875" style="17" customWidth="1"/>
    <col min="2" max="2" width="55.6640625" style="9" customWidth="1"/>
    <col min="3" max="6" width="15.44140625" style="9" customWidth="1"/>
    <col min="7" max="7" width="0.6640625" style="9" customWidth="1"/>
    <col min="8" max="10" width="14.33203125" style="9" customWidth="1"/>
    <col min="11" max="11" width="0.6640625" style="9" customWidth="1"/>
    <col min="12" max="14" width="10.5546875" style="9" customWidth="1"/>
    <col min="15" max="15" width="0.6640625" style="9" customWidth="1"/>
    <col min="16" max="18" width="14.5546875" style="9" customWidth="1"/>
    <col min="19" max="19" width="15.5546875" style="9" customWidth="1"/>
    <col min="21" max="21" width="2.5546875" customWidth="1"/>
    <col min="22" max="22" width="3.44140625" customWidth="1"/>
    <col min="23" max="23" width="12.5546875" bestFit="1" customWidth="1"/>
  </cols>
  <sheetData>
    <row r="1" spans="1:26" ht="24.6" x14ac:dyDescent="0.4">
      <c r="A1" s="1025" t="s">
        <v>430</v>
      </c>
      <c r="B1" s="82"/>
      <c r="C1" s="82"/>
      <c r="D1" s="82"/>
      <c r="E1" s="82"/>
      <c r="F1" s="82"/>
      <c r="G1" s="81"/>
      <c r="H1" s="80"/>
      <c r="I1" s="80"/>
      <c r="J1" s="79" t="str">
        <f>+'1. Sülysáp összesen'!J1</f>
        <v>2018. ÉV KÖLTSÉGVETÉS</v>
      </c>
      <c r="K1" s="84"/>
      <c r="L1" s="84"/>
      <c r="M1" s="80"/>
      <c r="N1" s="80"/>
      <c r="O1" s="84"/>
      <c r="P1" s="80"/>
      <c r="Q1" s="80"/>
      <c r="R1" s="80"/>
      <c r="S1" s="80"/>
      <c r="T1" s="80"/>
      <c r="U1" s="80"/>
      <c r="V1" s="80"/>
      <c r="W1" s="497"/>
      <c r="X1" s="28"/>
      <c r="Y1" s="28"/>
    </row>
    <row r="2" spans="1:26" x14ac:dyDescent="0.25">
      <c r="A2" s="927"/>
      <c r="B2" s="927"/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927"/>
      <c r="N2" s="927"/>
      <c r="O2" s="927"/>
      <c r="P2" s="927"/>
      <c r="Q2" s="927"/>
      <c r="R2" s="927"/>
      <c r="S2" s="927"/>
      <c r="T2" s="927"/>
      <c r="U2" s="927"/>
      <c r="V2" s="1026"/>
      <c r="W2" s="557"/>
      <c r="X2" s="46"/>
    </row>
    <row r="3" spans="1:26" x14ac:dyDescent="0.25">
      <c r="A3" s="927"/>
      <c r="B3" s="927"/>
      <c r="C3" s="927"/>
      <c r="D3" s="927"/>
      <c r="E3" s="927"/>
      <c r="F3" s="927"/>
      <c r="G3" s="927"/>
      <c r="H3" s="927"/>
      <c r="I3" s="927"/>
      <c r="J3" s="927"/>
      <c r="K3" s="927"/>
      <c r="L3" s="927"/>
      <c r="M3" s="927"/>
      <c r="N3" s="927"/>
      <c r="O3" s="927"/>
      <c r="P3" s="927"/>
      <c r="Q3" s="927"/>
      <c r="R3" s="927"/>
      <c r="S3" s="927"/>
      <c r="T3" s="927"/>
      <c r="U3" s="927"/>
      <c r="V3" s="928"/>
      <c r="W3" s="557"/>
      <c r="X3" s="46"/>
    </row>
    <row r="4" spans="1:26" x14ac:dyDescent="0.25">
      <c r="A4" s="104"/>
      <c r="B4" s="103"/>
      <c r="C4" s="39"/>
      <c r="D4" s="39"/>
      <c r="E4" s="39"/>
      <c r="F4" s="39"/>
      <c r="G4" s="39"/>
      <c r="H4" s="39"/>
      <c r="I4" s="39"/>
      <c r="J4" s="39"/>
      <c r="K4" s="39"/>
      <c r="L4" s="103"/>
      <c r="M4" s="103"/>
      <c r="N4" s="103"/>
      <c r="O4" s="39"/>
      <c r="P4" s="39"/>
      <c r="Q4" s="39"/>
      <c r="R4" s="39"/>
      <c r="S4" s="39"/>
      <c r="T4" s="39"/>
      <c r="U4" s="103"/>
      <c r="V4" s="929" t="str">
        <f>+'1. Sülysáp összesen'!V5</f>
        <v>F-oszlop</v>
      </c>
      <c r="W4" s="557"/>
      <c r="X4" s="46"/>
    </row>
    <row r="5" spans="1:26" ht="20.100000000000001" customHeight="1" x14ac:dyDescent="0.3">
      <c r="A5" s="98"/>
      <c r="B5" s="98" t="s">
        <v>380</v>
      </c>
      <c r="C5" s="930">
        <f>+C89</f>
        <v>127380900</v>
      </c>
      <c r="D5" s="930">
        <f t="shared" ref="D5:E5" si="0">+D89</f>
        <v>128322500</v>
      </c>
      <c r="E5" s="930">
        <f t="shared" si="0"/>
        <v>128322500</v>
      </c>
      <c r="F5" s="930">
        <f>+F89</f>
        <v>127660702</v>
      </c>
      <c r="G5" s="930"/>
      <c r="H5" s="930">
        <f>+H89</f>
        <v>61422889</v>
      </c>
      <c r="I5" s="930">
        <f t="shared" ref="I5:J5" si="1">+I89</f>
        <v>91935433</v>
      </c>
      <c r="J5" s="930">
        <f t="shared" si="1"/>
        <v>124836820</v>
      </c>
      <c r="K5" s="124"/>
      <c r="L5" s="933">
        <f>IF(C5=0,0,H5/C5)</f>
        <v>0.48219857922184567</v>
      </c>
      <c r="M5" s="933">
        <f>IF(D5=0,0,I5/D5)</f>
        <v>0.71644047614409012</v>
      </c>
      <c r="N5" s="933">
        <f>IF(E5=0,0,J5/E5)</f>
        <v>0.97283656412554309</v>
      </c>
      <c r="O5" s="124"/>
      <c r="P5" s="930">
        <f>+P89</f>
        <v>941600</v>
      </c>
      <c r="Q5" s="930">
        <f>+Q89</f>
        <v>0</v>
      </c>
      <c r="R5" s="930">
        <f>+R89</f>
        <v>-661798</v>
      </c>
      <c r="S5" s="930">
        <f>+S89</f>
        <v>279802</v>
      </c>
      <c r="T5" s="931">
        <f>IF(C5=0,0,+S5/C5)</f>
        <v>2.1965773518635837E-3</v>
      </c>
      <c r="U5" s="1027"/>
      <c r="V5" s="908">
        <f>+S5-F5+C5</f>
        <v>0</v>
      </c>
      <c r="W5" s="557"/>
      <c r="X5" s="46"/>
    </row>
    <row r="6" spans="1:26" ht="20.100000000000001" customHeight="1" x14ac:dyDescent="0.3">
      <c r="A6" s="100"/>
      <c r="B6" s="100" t="s">
        <v>379</v>
      </c>
      <c r="C6" s="932">
        <f>+C102</f>
        <v>127380900</v>
      </c>
      <c r="D6" s="932">
        <f t="shared" ref="D6:F6" si="2">+D102</f>
        <v>128322500</v>
      </c>
      <c r="E6" s="932">
        <f t="shared" si="2"/>
        <v>128322500</v>
      </c>
      <c r="F6" s="932">
        <f t="shared" si="2"/>
        <v>127660702</v>
      </c>
      <c r="G6" s="932"/>
      <c r="H6" s="932">
        <f>+H102</f>
        <v>65981543</v>
      </c>
      <c r="I6" s="932">
        <f t="shared" ref="I6:J6" si="3">+I102</f>
        <v>96501137</v>
      </c>
      <c r="J6" s="932">
        <f t="shared" si="3"/>
        <v>127267703</v>
      </c>
      <c r="K6" s="77"/>
      <c r="L6" s="933">
        <f t="shared" ref="L6:L7" si="4">IF(C6=0,0,H6/C6)</f>
        <v>0.51798615805038273</v>
      </c>
      <c r="M6" s="933">
        <f t="shared" ref="M6:M7" si="5">IF(D6=0,0,I6/D6)</f>
        <v>0.75202039392935771</v>
      </c>
      <c r="N6" s="933">
        <f t="shared" ref="N6:N7" si="6">IF(E6=0,0,J6/E6)</f>
        <v>0.99178010871047551</v>
      </c>
      <c r="O6" s="77"/>
      <c r="P6" s="932">
        <f>+P102</f>
        <v>941600</v>
      </c>
      <c r="Q6" s="932">
        <f t="shared" ref="Q6:S6" si="7">+Q102</f>
        <v>0</v>
      </c>
      <c r="R6" s="932">
        <f t="shared" si="7"/>
        <v>-661798</v>
      </c>
      <c r="S6" s="932">
        <f t="shared" si="7"/>
        <v>279802</v>
      </c>
      <c r="T6" s="933">
        <f>IF(C6=0,0,+S6/C6)</f>
        <v>2.1965773518635837E-3</v>
      </c>
      <c r="U6" s="1027"/>
      <c r="V6" s="908">
        <f t="shared" ref="V6:V7" si="8">+S6-F6+C6</f>
        <v>0</v>
      </c>
      <c r="W6" s="557"/>
      <c r="X6" s="46"/>
    </row>
    <row r="7" spans="1:26" ht="20.100000000000001" customHeight="1" x14ac:dyDescent="0.3">
      <c r="A7" s="100"/>
      <c r="B7" s="100" t="s">
        <v>416</v>
      </c>
      <c r="C7" s="932">
        <f>+C6-C5</f>
        <v>0</v>
      </c>
      <c r="D7" s="932">
        <f t="shared" ref="D7:H7" si="9">+D6-D5</f>
        <v>0</v>
      </c>
      <c r="E7" s="932">
        <f t="shared" si="9"/>
        <v>0</v>
      </c>
      <c r="F7" s="932">
        <f t="shared" si="9"/>
        <v>0</v>
      </c>
      <c r="G7" s="932"/>
      <c r="H7" s="932">
        <f t="shared" si="9"/>
        <v>4558654</v>
      </c>
      <c r="I7" s="932">
        <f>+I6-I5</f>
        <v>4565704</v>
      </c>
      <c r="J7" s="932">
        <f t="shared" ref="J7" si="10">+J6-J5</f>
        <v>2430883</v>
      </c>
      <c r="K7" s="77"/>
      <c r="L7" s="933">
        <f t="shared" si="4"/>
        <v>0</v>
      </c>
      <c r="M7" s="933">
        <f t="shared" si="5"/>
        <v>0</v>
      </c>
      <c r="N7" s="933">
        <f t="shared" si="6"/>
        <v>0</v>
      </c>
      <c r="O7" s="77"/>
      <c r="P7" s="932">
        <f t="shared" ref="P7:S7" si="11">+P6-P5</f>
        <v>0</v>
      </c>
      <c r="Q7" s="932">
        <f t="shared" si="11"/>
        <v>0</v>
      </c>
      <c r="R7" s="932">
        <f t="shared" si="11"/>
        <v>0</v>
      </c>
      <c r="S7" s="932">
        <f t="shared" si="11"/>
        <v>0</v>
      </c>
      <c r="T7" s="933">
        <f>IF(C7=0,0,+S7/C7)</f>
        <v>0</v>
      </c>
      <c r="U7" s="1027"/>
      <c r="V7" s="908">
        <f t="shared" si="8"/>
        <v>0</v>
      </c>
      <c r="W7" s="557"/>
      <c r="X7" s="46"/>
    </row>
    <row r="8" spans="1:26" x14ac:dyDescent="0.25">
      <c r="A8" s="90"/>
      <c r="B8" s="91"/>
      <c r="C8" s="121"/>
      <c r="D8" s="40"/>
      <c r="E8" s="40"/>
      <c r="F8" s="40"/>
      <c r="G8" s="41"/>
      <c r="H8" s="41"/>
      <c r="I8" s="41"/>
      <c r="J8" s="41"/>
      <c r="K8" s="41"/>
      <c r="L8" s="958"/>
      <c r="M8" s="958"/>
      <c r="N8" s="958"/>
      <c r="O8" s="41"/>
      <c r="P8" s="934"/>
      <c r="Q8" s="934"/>
      <c r="R8" s="934"/>
      <c r="S8" s="934"/>
      <c r="T8" s="948"/>
      <c r="U8" s="1006"/>
      <c r="V8" s="906"/>
      <c r="W8" s="557"/>
      <c r="X8" s="46"/>
    </row>
    <row r="9" spans="1:26" ht="15.6" x14ac:dyDescent="0.3">
      <c r="A9" s="35"/>
      <c r="B9" s="92"/>
      <c r="C9" s="1120" t="s">
        <v>415</v>
      </c>
      <c r="D9" s="1121"/>
      <c r="E9" s="1121"/>
      <c r="F9" s="1122"/>
      <c r="G9" s="936"/>
      <c r="H9" s="1120" t="s">
        <v>414</v>
      </c>
      <c r="I9" s="1121"/>
      <c r="J9" s="1121"/>
      <c r="K9" s="1121"/>
      <c r="L9" s="1121"/>
      <c r="M9" s="1121"/>
      <c r="N9" s="1122"/>
      <c r="O9" s="936"/>
      <c r="P9" s="1120" t="s">
        <v>411</v>
      </c>
      <c r="Q9" s="1121"/>
      <c r="R9" s="1121"/>
      <c r="S9" s="1121"/>
      <c r="T9" s="1122"/>
      <c r="U9" s="937"/>
      <c r="V9" s="935"/>
      <c r="W9" s="557"/>
      <c r="X9" s="46"/>
    </row>
    <row r="10" spans="1:26" x14ac:dyDescent="0.25">
      <c r="A10" s="104"/>
      <c r="B10" s="103"/>
      <c r="C10" s="88"/>
      <c r="D10" s="39"/>
      <c r="E10" s="39"/>
      <c r="F10" s="89"/>
      <c r="G10" s="54"/>
      <c r="H10" s="1123" t="s">
        <v>424</v>
      </c>
      <c r="I10" s="1124"/>
      <c r="J10" s="1125"/>
      <c r="K10" s="54"/>
      <c r="L10" s="1123" t="s">
        <v>423</v>
      </c>
      <c r="M10" s="1124"/>
      <c r="N10" s="1125"/>
      <c r="O10" s="54"/>
      <c r="P10" s="49">
        <f>+' 2. Önk. Bevételek'!P8</f>
        <v>1</v>
      </c>
      <c r="Q10" s="49">
        <f>+' 2. Önk. Bevételek'!Q8</f>
        <v>1</v>
      </c>
      <c r="R10" s="49">
        <f>+' 2. Önk. Bevételek'!R8</f>
        <v>1</v>
      </c>
      <c r="S10" s="48"/>
      <c r="T10" s="48"/>
      <c r="U10" s="58"/>
      <c r="V10" s="102"/>
      <c r="W10" s="582"/>
      <c r="X10" s="51"/>
      <c r="Y10" s="51"/>
      <c r="Z10" s="51"/>
    </row>
    <row r="11" spans="1:26" ht="62.4" x14ac:dyDescent="0.3">
      <c r="A11" s="938" t="s">
        <v>375</v>
      </c>
      <c r="B11" s="938" t="s">
        <v>373</v>
      </c>
      <c r="C11" s="939" t="s">
        <v>484</v>
      </c>
      <c r="D11" s="940" t="s">
        <v>485</v>
      </c>
      <c r="E11" s="940" t="s">
        <v>486</v>
      </c>
      <c r="F11" s="941" t="s">
        <v>487</v>
      </c>
      <c r="G11" s="940"/>
      <c r="H11" s="942" t="s">
        <v>497</v>
      </c>
      <c r="I11" s="943" t="s">
        <v>498</v>
      </c>
      <c r="J11" s="943" t="s">
        <v>499</v>
      </c>
      <c r="K11" s="940"/>
      <c r="L11" s="944" t="s">
        <v>500</v>
      </c>
      <c r="M11" s="944" t="s">
        <v>502</v>
      </c>
      <c r="N11" s="945" t="s">
        <v>501</v>
      </c>
      <c r="O11" s="940"/>
      <c r="P11" s="942" t="s">
        <v>494</v>
      </c>
      <c r="Q11" s="943" t="s">
        <v>495</v>
      </c>
      <c r="R11" s="943" t="s">
        <v>496</v>
      </c>
      <c r="S11" s="943" t="s">
        <v>412</v>
      </c>
      <c r="T11" s="945" t="s">
        <v>413</v>
      </c>
      <c r="U11" s="946"/>
      <c r="V11" s="947" t="s">
        <v>417</v>
      </c>
      <c r="W11" s="1016"/>
      <c r="X11" s="1013"/>
      <c r="Y11" s="486"/>
    </row>
    <row r="12" spans="1:26" x14ac:dyDescent="0.25">
      <c r="A12" s="951"/>
      <c r="B12" s="14"/>
      <c r="C12" s="78"/>
      <c r="D12" s="78"/>
      <c r="E12" s="78"/>
      <c r="F12" s="78"/>
      <c r="G12" s="78"/>
      <c r="H12" s="78"/>
      <c r="I12" s="78"/>
      <c r="J12" s="78"/>
      <c r="K12" s="78"/>
      <c r="L12" s="997"/>
      <c r="M12" s="998"/>
      <c r="N12" s="997"/>
      <c r="O12" s="78"/>
      <c r="P12" s="106"/>
      <c r="Q12" s="106"/>
      <c r="R12" s="106"/>
      <c r="S12" s="106"/>
      <c r="T12" s="1028"/>
      <c r="U12" s="40"/>
      <c r="V12" s="1004"/>
      <c r="W12" s="543"/>
      <c r="X12" s="486"/>
      <c r="Y12" s="486"/>
    </row>
    <row r="13" spans="1:26" x14ac:dyDescent="0.25">
      <c r="A13" s="5" t="s">
        <v>0</v>
      </c>
      <c r="B13" s="5" t="s">
        <v>3</v>
      </c>
      <c r="C13" s="1029">
        <f>SUM(C14:C28)</f>
        <v>96264900</v>
      </c>
      <c r="D13" s="1029">
        <f t="shared" ref="D13:J13" si="12">SUM(D14:D28)</f>
        <v>97206500</v>
      </c>
      <c r="E13" s="1029">
        <f t="shared" si="12"/>
        <v>97206500</v>
      </c>
      <c r="F13" s="1029">
        <f t="shared" si="12"/>
        <v>95856500</v>
      </c>
      <c r="G13" s="1029"/>
      <c r="H13" s="1029">
        <f t="shared" si="12"/>
        <v>45938363</v>
      </c>
      <c r="I13" s="1029">
        <f t="shared" si="12"/>
        <v>69087844</v>
      </c>
      <c r="J13" s="1029">
        <f t="shared" si="12"/>
        <v>94926606</v>
      </c>
      <c r="K13" s="1030"/>
      <c r="L13" s="950">
        <f t="shared" ref="L13:L76" si="13">IF(C13=0,0,H13/C13)</f>
        <v>0.47720781925707084</v>
      </c>
      <c r="M13" s="950">
        <f t="shared" ref="M13:M76" si="14">IF(D13=0,0,I13/D13)</f>
        <v>0.71073275964055904</v>
      </c>
      <c r="N13" s="950">
        <f t="shared" ref="N13:N76" si="15">IF(E13=0,0,J13/E13)</f>
        <v>0.97654586884621908</v>
      </c>
      <c r="O13" s="1030"/>
      <c r="P13" s="1031">
        <f t="shared" ref="P13:P76" si="16">+(D13-C13)*P$10</f>
        <v>941600</v>
      </c>
      <c r="Q13" s="1031">
        <f t="shared" ref="Q13:Q76" si="17">+(E13-D13)*Q$10</f>
        <v>0</v>
      </c>
      <c r="R13" s="1031">
        <f t="shared" ref="R13:R76" si="18">+(F13-E13)*R$10</f>
        <v>-1350000</v>
      </c>
      <c r="S13" s="1031">
        <f t="shared" ref="S13:S76" si="19">SUM(P13:R13)</f>
        <v>-408400</v>
      </c>
      <c r="T13" s="1005">
        <f t="shared" ref="T13:T76" si="20">IF(C13=0,0,+S13/C13)</f>
        <v>-4.2424601282502758E-3</v>
      </c>
      <c r="U13" s="1006"/>
      <c r="V13" s="906">
        <f t="shared" ref="V13:V76" si="21">+S13-F13+C13</f>
        <v>0</v>
      </c>
      <c r="W13" s="543"/>
      <c r="X13" s="486"/>
      <c r="Y13" s="486"/>
    </row>
    <row r="14" spans="1:26" x14ac:dyDescent="0.25">
      <c r="A14" s="14" t="s">
        <v>1</v>
      </c>
      <c r="B14" s="14"/>
      <c r="C14" s="123"/>
      <c r="D14" s="78"/>
      <c r="E14" s="78"/>
      <c r="F14" s="78"/>
      <c r="G14" s="78"/>
      <c r="H14" s="78"/>
      <c r="I14" s="78"/>
      <c r="J14" s="78"/>
      <c r="K14" s="1032"/>
      <c r="L14" s="958">
        <f t="shared" si="13"/>
        <v>0</v>
      </c>
      <c r="M14" s="958">
        <f t="shared" si="14"/>
        <v>0</v>
      </c>
      <c r="N14" s="958">
        <f t="shared" si="15"/>
        <v>0</v>
      </c>
      <c r="O14" s="1032"/>
      <c r="P14" s="106">
        <f t="shared" si="16"/>
        <v>0</v>
      </c>
      <c r="Q14" s="106">
        <f t="shared" si="17"/>
        <v>0</v>
      </c>
      <c r="R14" s="106">
        <f t="shared" si="18"/>
        <v>0</v>
      </c>
      <c r="S14" s="106">
        <f t="shared" si="19"/>
        <v>0</v>
      </c>
      <c r="T14" s="1007">
        <f t="shared" si="20"/>
        <v>0</v>
      </c>
      <c r="U14" s="1006"/>
      <c r="V14" s="906">
        <f t="shared" si="21"/>
        <v>0</v>
      </c>
      <c r="W14" s="543"/>
      <c r="X14" s="486"/>
      <c r="Y14" s="486"/>
    </row>
    <row r="15" spans="1:26" x14ac:dyDescent="0.25">
      <c r="A15" s="14" t="s">
        <v>2</v>
      </c>
      <c r="B15" s="157" t="s">
        <v>364</v>
      </c>
      <c r="C15" s="1033">
        <v>90000000</v>
      </c>
      <c r="D15" s="78">
        <v>86115050</v>
      </c>
      <c r="E15" s="78">
        <v>85845050</v>
      </c>
      <c r="F15" s="78">
        <v>83667950</v>
      </c>
      <c r="G15" s="78"/>
      <c r="H15" s="78">
        <v>40676084</v>
      </c>
      <c r="I15" s="78">
        <v>62948927</v>
      </c>
      <c r="J15" s="78">
        <v>83205061</v>
      </c>
      <c r="K15" s="1032"/>
      <c r="L15" s="958">
        <f t="shared" si="13"/>
        <v>0.4519564888888889</v>
      </c>
      <c r="M15" s="958">
        <f t="shared" si="14"/>
        <v>0.73098636068840461</v>
      </c>
      <c r="N15" s="958">
        <f t="shared" si="15"/>
        <v>0.9692470445296496</v>
      </c>
      <c r="O15" s="1032"/>
      <c r="P15" s="934">
        <f t="shared" si="16"/>
        <v>-3884950</v>
      </c>
      <c r="Q15" s="934">
        <f t="shared" si="17"/>
        <v>-270000</v>
      </c>
      <c r="R15" s="934">
        <f t="shared" si="18"/>
        <v>-2177100</v>
      </c>
      <c r="S15" s="934">
        <f t="shared" si="19"/>
        <v>-6332050</v>
      </c>
      <c r="T15" s="1007">
        <f t="shared" si="20"/>
        <v>-7.0356111111111105E-2</v>
      </c>
      <c r="U15" s="1006"/>
      <c r="V15" s="906">
        <f t="shared" si="21"/>
        <v>0</v>
      </c>
      <c r="W15" s="543"/>
      <c r="X15" s="486"/>
      <c r="Y15" s="486"/>
    </row>
    <row r="16" spans="1:26" x14ac:dyDescent="0.25">
      <c r="A16" s="14" t="s">
        <v>13</v>
      </c>
      <c r="B16" s="14" t="s">
        <v>4</v>
      </c>
      <c r="C16" s="123"/>
      <c r="D16" s="78">
        <v>300000</v>
      </c>
      <c r="E16" s="78">
        <v>550000</v>
      </c>
      <c r="F16" s="78">
        <v>1350000</v>
      </c>
      <c r="G16" s="78"/>
      <c r="H16" s="78">
        <v>82420</v>
      </c>
      <c r="I16" s="78">
        <f>250000+82420</f>
        <v>332420</v>
      </c>
      <c r="J16" s="78">
        <f>1050000+207170</f>
        <v>1257170</v>
      </c>
      <c r="K16" s="1032"/>
      <c r="L16" s="958">
        <f t="shared" si="13"/>
        <v>0</v>
      </c>
      <c r="M16" s="958">
        <f t="shared" si="14"/>
        <v>1.1080666666666668</v>
      </c>
      <c r="N16" s="958">
        <f t="shared" si="15"/>
        <v>2.2857636363636362</v>
      </c>
      <c r="O16" s="1032"/>
      <c r="P16" s="934">
        <f t="shared" si="16"/>
        <v>300000</v>
      </c>
      <c r="Q16" s="934">
        <f t="shared" si="17"/>
        <v>250000</v>
      </c>
      <c r="R16" s="934">
        <f t="shared" si="18"/>
        <v>800000</v>
      </c>
      <c r="S16" s="934">
        <f t="shared" si="19"/>
        <v>1350000</v>
      </c>
      <c r="T16" s="1007">
        <f t="shared" si="20"/>
        <v>0</v>
      </c>
      <c r="U16" s="1006"/>
      <c r="V16" s="906">
        <f t="shared" si="21"/>
        <v>0</v>
      </c>
      <c r="W16" s="543"/>
      <c r="X16" s="486"/>
      <c r="Y16" s="486"/>
    </row>
    <row r="17" spans="1:25" x14ac:dyDescent="0.25">
      <c r="A17" s="14" t="s">
        <v>14</v>
      </c>
      <c r="B17" s="14" t="s">
        <v>5</v>
      </c>
      <c r="C17" s="123">
        <v>0</v>
      </c>
      <c r="D17" s="78">
        <v>0</v>
      </c>
      <c r="E17" s="78">
        <v>0</v>
      </c>
      <c r="F17" s="78"/>
      <c r="G17" s="78"/>
      <c r="H17" s="78">
        <v>0</v>
      </c>
      <c r="I17" s="78"/>
      <c r="J17" s="78"/>
      <c r="K17" s="1032"/>
      <c r="L17" s="958">
        <f t="shared" si="13"/>
        <v>0</v>
      </c>
      <c r="M17" s="958">
        <f t="shared" si="14"/>
        <v>0</v>
      </c>
      <c r="N17" s="958">
        <f t="shared" si="15"/>
        <v>0</v>
      </c>
      <c r="O17" s="1032"/>
      <c r="P17" s="934">
        <f t="shared" si="16"/>
        <v>0</v>
      </c>
      <c r="Q17" s="934">
        <f t="shared" si="17"/>
        <v>0</v>
      </c>
      <c r="R17" s="934">
        <f t="shared" si="18"/>
        <v>0</v>
      </c>
      <c r="S17" s="934">
        <f t="shared" si="19"/>
        <v>0</v>
      </c>
      <c r="T17" s="1007">
        <f t="shared" si="20"/>
        <v>0</v>
      </c>
      <c r="U17" s="1006"/>
      <c r="V17" s="906">
        <f t="shared" si="21"/>
        <v>0</v>
      </c>
      <c r="W17" s="543"/>
      <c r="X17" s="486"/>
      <c r="Y17" s="486"/>
    </row>
    <row r="18" spans="1:25" x14ac:dyDescent="0.25">
      <c r="A18" s="157" t="s">
        <v>389</v>
      </c>
      <c r="B18" s="14" t="s">
        <v>6</v>
      </c>
      <c r="C18" s="123">
        <v>564900</v>
      </c>
      <c r="D18" s="78">
        <v>564900</v>
      </c>
      <c r="E18" s="78">
        <v>564900</v>
      </c>
      <c r="F18" s="78">
        <v>474900</v>
      </c>
      <c r="G18" s="78"/>
      <c r="H18" s="78">
        <v>179242</v>
      </c>
      <c r="I18" s="78">
        <v>179242</v>
      </c>
      <c r="J18" s="78">
        <v>179242</v>
      </c>
      <c r="K18" s="1032"/>
      <c r="L18" s="958">
        <f t="shared" si="13"/>
        <v>0.3172986369268897</v>
      </c>
      <c r="M18" s="958">
        <f t="shared" si="14"/>
        <v>0.3172986369268897</v>
      </c>
      <c r="N18" s="958">
        <f t="shared" si="15"/>
        <v>0.3172986369268897</v>
      </c>
      <c r="O18" s="1032"/>
      <c r="P18" s="934">
        <f t="shared" si="16"/>
        <v>0</v>
      </c>
      <c r="Q18" s="934">
        <f t="shared" si="17"/>
        <v>0</v>
      </c>
      <c r="R18" s="934">
        <f t="shared" si="18"/>
        <v>-90000</v>
      </c>
      <c r="S18" s="934">
        <f t="shared" si="19"/>
        <v>-90000</v>
      </c>
      <c r="T18" s="1007">
        <f t="shared" si="20"/>
        <v>-0.15932023366967604</v>
      </c>
      <c r="U18" s="1006"/>
      <c r="V18" s="906">
        <f t="shared" si="21"/>
        <v>0</v>
      </c>
      <c r="W18" s="1017"/>
      <c r="X18" s="486"/>
      <c r="Y18" s="486"/>
    </row>
    <row r="19" spans="1:25" x14ac:dyDescent="0.25">
      <c r="A19" s="14" t="s">
        <v>15</v>
      </c>
      <c r="B19" s="14" t="s">
        <v>7</v>
      </c>
      <c r="C19" s="123">
        <f>26*200000</f>
        <v>5200000</v>
      </c>
      <c r="D19" s="78">
        <v>5200000</v>
      </c>
      <c r="E19" s="78">
        <v>5200000</v>
      </c>
      <c r="F19" s="78">
        <v>6710000</v>
      </c>
      <c r="G19" s="78"/>
      <c r="H19" s="78">
        <v>3345834</v>
      </c>
      <c r="I19" s="78">
        <v>3637058</v>
      </c>
      <c r="J19" s="78">
        <v>6709548</v>
      </c>
      <c r="K19" s="1032"/>
      <c r="L19" s="958">
        <f t="shared" si="13"/>
        <v>0.64342961538461541</v>
      </c>
      <c r="M19" s="958">
        <f t="shared" si="14"/>
        <v>0.69943423076923072</v>
      </c>
      <c r="N19" s="958">
        <f t="shared" si="15"/>
        <v>1.2902976923076923</v>
      </c>
      <c r="O19" s="1032"/>
      <c r="P19" s="934">
        <f t="shared" si="16"/>
        <v>0</v>
      </c>
      <c r="Q19" s="934">
        <f t="shared" si="17"/>
        <v>0</v>
      </c>
      <c r="R19" s="934">
        <f t="shared" si="18"/>
        <v>1510000</v>
      </c>
      <c r="S19" s="934">
        <f t="shared" si="19"/>
        <v>1510000</v>
      </c>
      <c r="T19" s="1007">
        <f t="shared" si="20"/>
        <v>0.29038461538461541</v>
      </c>
      <c r="U19" s="1006"/>
      <c r="V19" s="906">
        <f t="shared" si="21"/>
        <v>0</v>
      </c>
      <c r="W19" s="543"/>
      <c r="X19" s="486"/>
      <c r="Y19" s="486"/>
    </row>
    <row r="20" spans="1:25" x14ac:dyDescent="0.25">
      <c r="A20" s="14" t="s">
        <v>16</v>
      </c>
      <c r="B20" s="14" t="s">
        <v>8</v>
      </c>
      <c r="C20" s="123">
        <v>0</v>
      </c>
      <c r="D20" s="78">
        <v>0</v>
      </c>
      <c r="E20" s="78">
        <v>0</v>
      </c>
      <c r="F20" s="78"/>
      <c r="G20" s="78"/>
      <c r="H20" s="78">
        <v>0</v>
      </c>
      <c r="I20" s="78">
        <v>0</v>
      </c>
      <c r="J20" s="78"/>
      <c r="K20" s="1032"/>
      <c r="L20" s="958">
        <f t="shared" si="13"/>
        <v>0</v>
      </c>
      <c r="M20" s="958">
        <f t="shared" si="14"/>
        <v>0</v>
      </c>
      <c r="N20" s="958">
        <f t="shared" si="15"/>
        <v>0</v>
      </c>
      <c r="O20" s="1032"/>
      <c r="P20" s="934">
        <f t="shared" si="16"/>
        <v>0</v>
      </c>
      <c r="Q20" s="934">
        <f t="shared" si="17"/>
        <v>0</v>
      </c>
      <c r="R20" s="934">
        <f t="shared" si="18"/>
        <v>0</v>
      </c>
      <c r="S20" s="934">
        <f t="shared" si="19"/>
        <v>0</v>
      </c>
      <c r="T20" s="1007">
        <f t="shared" si="20"/>
        <v>0</v>
      </c>
      <c r="U20" s="1006"/>
      <c r="V20" s="906">
        <f t="shared" si="21"/>
        <v>0</v>
      </c>
      <c r="W20" s="543"/>
      <c r="X20" s="486"/>
      <c r="Y20" s="486"/>
    </row>
    <row r="21" spans="1:25" x14ac:dyDescent="0.25">
      <c r="A21" s="14" t="s">
        <v>17</v>
      </c>
      <c r="B21" s="14" t="s">
        <v>9</v>
      </c>
      <c r="C21" s="123">
        <v>500000</v>
      </c>
      <c r="D21" s="78">
        <v>500000</v>
      </c>
      <c r="E21" s="78">
        <v>500000</v>
      </c>
      <c r="F21" s="78">
        <v>500000</v>
      </c>
      <c r="G21" s="78"/>
      <c r="H21" s="78">
        <v>173063</v>
      </c>
      <c r="I21" s="78">
        <v>285525</v>
      </c>
      <c r="J21" s="78">
        <v>425255</v>
      </c>
      <c r="K21" s="1032"/>
      <c r="L21" s="958">
        <f t="shared" si="13"/>
        <v>0.34612599999999999</v>
      </c>
      <c r="M21" s="958">
        <f t="shared" si="14"/>
        <v>0.57104999999999995</v>
      </c>
      <c r="N21" s="958">
        <f t="shared" si="15"/>
        <v>0.85050999999999999</v>
      </c>
      <c r="O21" s="1032"/>
      <c r="P21" s="934">
        <f t="shared" si="16"/>
        <v>0</v>
      </c>
      <c r="Q21" s="934">
        <f t="shared" si="17"/>
        <v>0</v>
      </c>
      <c r="R21" s="934">
        <f t="shared" si="18"/>
        <v>0</v>
      </c>
      <c r="S21" s="934">
        <f t="shared" si="19"/>
        <v>0</v>
      </c>
      <c r="T21" s="1007">
        <f t="shared" si="20"/>
        <v>0</v>
      </c>
      <c r="U21" s="1006"/>
      <c r="V21" s="906">
        <f t="shared" si="21"/>
        <v>0</v>
      </c>
      <c r="W21" s="543"/>
      <c r="X21" s="486"/>
      <c r="Y21" s="486"/>
    </row>
    <row r="22" spans="1:25" x14ac:dyDescent="0.25">
      <c r="A22" s="14" t="s">
        <v>18</v>
      </c>
      <c r="B22" s="14" t="s">
        <v>10</v>
      </c>
      <c r="C22" s="123">
        <v>0</v>
      </c>
      <c r="D22" s="78">
        <v>0</v>
      </c>
      <c r="E22" s="78">
        <v>20000</v>
      </c>
      <c r="F22" s="78">
        <v>20000</v>
      </c>
      <c r="G22" s="78"/>
      <c r="H22" s="78">
        <v>0</v>
      </c>
      <c r="I22" s="78">
        <v>20000</v>
      </c>
      <c r="J22" s="78">
        <v>20000</v>
      </c>
      <c r="K22" s="1032"/>
      <c r="L22" s="958">
        <f t="shared" si="13"/>
        <v>0</v>
      </c>
      <c r="M22" s="958">
        <f t="shared" si="14"/>
        <v>0</v>
      </c>
      <c r="N22" s="958">
        <f t="shared" si="15"/>
        <v>1</v>
      </c>
      <c r="O22" s="1032"/>
      <c r="P22" s="934">
        <f t="shared" si="16"/>
        <v>0</v>
      </c>
      <c r="Q22" s="934">
        <f t="shared" si="17"/>
        <v>20000</v>
      </c>
      <c r="R22" s="934">
        <f t="shared" si="18"/>
        <v>0</v>
      </c>
      <c r="S22" s="934">
        <f t="shared" si="19"/>
        <v>20000</v>
      </c>
      <c r="T22" s="1007">
        <f t="shared" si="20"/>
        <v>0</v>
      </c>
      <c r="U22" s="1006"/>
      <c r="V22" s="906">
        <f t="shared" si="21"/>
        <v>0</v>
      </c>
      <c r="W22" s="543"/>
      <c r="X22" s="486"/>
      <c r="Y22" s="486"/>
    </row>
    <row r="23" spans="1:25" x14ac:dyDescent="0.25">
      <c r="A23" s="14" t="s">
        <v>19</v>
      </c>
      <c r="B23" s="14" t="s">
        <v>11</v>
      </c>
      <c r="C23" s="123">
        <v>0</v>
      </c>
      <c r="D23" s="78">
        <v>3000000</v>
      </c>
      <c r="E23" s="78">
        <v>3000000</v>
      </c>
      <c r="F23" s="78">
        <v>1108600</v>
      </c>
      <c r="G23" s="78"/>
      <c r="H23" s="78">
        <v>410170</v>
      </c>
      <c r="I23" s="78">
        <v>613122</v>
      </c>
      <c r="J23" s="78">
        <v>1105280</v>
      </c>
      <c r="K23" s="1032"/>
      <c r="L23" s="958">
        <f t="shared" si="13"/>
        <v>0</v>
      </c>
      <c r="M23" s="958">
        <f t="shared" si="14"/>
        <v>0.204374</v>
      </c>
      <c r="N23" s="958">
        <f t="shared" si="15"/>
        <v>0.36842666666666668</v>
      </c>
      <c r="O23" s="1032"/>
      <c r="P23" s="934">
        <f t="shared" si="16"/>
        <v>3000000</v>
      </c>
      <c r="Q23" s="934">
        <f t="shared" si="17"/>
        <v>0</v>
      </c>
      <c r="R23" s="934">
        <f t="shared" si="18"/>
        <v>-1891400</v>
      </c>
      <c r="S23" s="934">
        <f t="shared" si="19"/>
        <v>1108600</v>
      </c>
      <c r="T23" s="1007">
        <f t="shared" si="20"/>
        <v>0</v>
      </c>
      <c r="U23" s="1006"/>
      <c r="V23" s="906">
        <f t="shared" si="21"/>
        <v>0</v>
      </c>
      <c r="W23" s="543"/>
      <c r="X23" s="486"/>
      <c r="Y23" s="486"/>
    </row>
    <row r="24" spans="1:25" x14ac:dyDescent="0.25">
      <c r="A24" s="14" t="s">
        <v>20</v>
      </c>
      <c r="B24" s="14"/>
      <c r="C24" s="123"/>
      <c r="D24" s="78"/>
      <c r="E24" s="78"/>
      <c r="F24" s="78"/>
      <c r="G24" s="78"/>
      <c r="H24" s="78"/>
      <c r="I24" s="78"/>
      <c r="J24" s="78"/>
      <c r="K24" s="1032"/>
      <c r="L24" s="958">
        <f t="shared" si="13"/>
        <v>0</v>
      </c>
      <c r="M24" s="958">
        <f t="shared" si="14"/>
        <v>0</v>
      </c>
      <c r="N24" s="958">
        <f t="shared" si="15"/>
        <v>0</v>
      </c>
      <c r="O24" s="1032"/>
      <c r="P24" s="934">
        <f t="shared" si="16"/>
        <v>0</v>
      </c>
      <c r="Q24" s="934">
        <f t="shared" si="17"/>
        <v>0</v>
      </c>
      <c r="R24" s="934">
        <f t="shared" si="18"/>
        <v>0</v>
      </c>
      <c r="S24" s="934">
        <f t="shared" si="19"/>
        <v>0</v>
      </c>
      <c r="T24" s="1007">
        <f t="shared" si="20"/>
        <v>0</v>
      </c>
      <c r="U24" s="1006"/>
      <c r="V24" s="906">
        <f t="shared" si="21"/>
        <v>0</v>
      </c>
      <c r="W24" s="543"/>
      <c r="X24" s="486"/>
      <c r="Y24" s="486"/>
    </row>
    <row r="25" spans="1:25" ht="26.4" x14ac:dyDescent="0.25">
      <c r="A25" s="14" t="s">
        <v>21</v>
      </c>
      <c r="B25" s="14" t="s">
        <v>108</v>
      </c>
      <c r="C25" s="123">
        <v>0</v>
      </c>
      <c r="D25" s="78">
        <v>0</v>
      </c>
      <c r="E25" s="78">
        <v>0</v>
      </c>
      <c r="F25" s="78"/>
      <c r="G25" s="78"/>
      <c r="H25" s="78">
        <v>0</v>
      </c>
      <c r="I25" s="78">
        <v>0</v>
      </c>
      <c r="J25" s="78"/>
      <c r="K25" s="1032"/>
      <c r="L25" s="958">
        <f t="shared" si="13"/>
        <v>0</v>
      </c>
      <c r="M25" s="958">
        <f t="shared" si="14"/>
        <v>0</v>
      </c>
      <c r="N25" s="958">
        <f t="shared" si="15"/>
        <v>0</v>
      </c>
      <c r="O25" s="1032"/>
      <c r="P25" s="934">
        <f t="shared" si="16"/>
        <v>0</v>
      </c>
      <c r="Q25" s="934">
        <f t="shared" si="17"/>
        <v>0</v>
      </c>
      <c r="R25" s="934">
        <f t="shared" si="18"/>
        <v>0</v>
      </c>
      <c r="S25" s="934">
        <f t="shared" si="19"/>
        <v>0</v>
      </c>
      <c r="T25" s="1007">
        <f t="shared" si="20"/>
        <v>0</v>
      </c>
      <c r="U25" s="1006"/>
      <c r="V25" s="906">
        <f t="shared" si="21"/>
        <v>0</v>
      </c>
      <c r="W25" s="543"/>
      <c r="X25" s="486"/>
      <c r="Y25" s="486"/>
    </row>
    <row r="26" spans="1:25" x14ac:dyDescent="0.25">
      <c r="A26" s="14" t="s">
        <v>23</v>
      </c>
      <c r="B26" s="14" t="s">
        <v>24</v>
      </c>
      <c r="C26" s="123">
        <v>0</v>
      </c>
      <c r="D26" s="78">
        <v>700000</v>
      </c>
      <c r="E26" s="78">
        <v>700000</v>
      </c>
      <c r="F26" s="78">
        <v>1171400</v>
      </c>
      <c r="G26" s="78"/>
      <c r="H26" s="78">
        <v>245000</v>
      </c>
      <c r="I26" s="78">
        <v>245000</v>
      </c>
      <c r="J26" s="78">
        <v>1171400</v>
      </c>
      <c r="K26" s="1032"/>
      <c r="L26" s="958">
        <f t="shared" si="13"/>
        <v>0</v>
      </c>
      <c r="M26" s="958">
        <f t="shared" si="14"/>
        <v>0.35</v>
      </c>
      <c r="N26" s="958">
        <f t="shared" si="15"/>
        <v>1.6734285714285715</v>
      </c>
      <c r="O26" s="1032"/>
      <c r="P26" s="934">
        <f t="shared" si="16"/>
        <v>700000</v>
      </c>
      <c r="Q26" s="934">
        <f t="shared" si="17"/>
        <v>0</v>
      </c>
      <c r="R26" s="934">
        <f t="shared" si="18"/>
        <v>471400</v>
      </c>
      <c r="S26" s="934">
        <f t="shared" si="19"/>
        <v>1171400</v>
      </c>
      <c r="T26" s="1007">
        <f t="shared" si="20"/>
        <v>0</v>
      </c>
      <c r="U26" s="1006"/>
      <c r="V26" s="906">
        <f t="shared" si="21"/>
        <v>0</v>
      </c>
      <c r="W26" s="543"/>
      <c r="X26" s="486"/>
      <c r="Y26" s="486"/>
    </row>
    <row r="27" spans="1:25" x14ac:dyDescent="0.25">
      <c r="A27" s="14" t="s">
        <v>25</v>
      </c>
      <c r="B27" s="14" t="s">
        <v>26</v>
      </c>
      <c r="C27" s="123">
        <v>0</v>
      </c>
      <c r="D27" s="78">
        <v>826550</v>
      </c>
      <c r="E27" s="78">
        <v>826550</v>
      </c>
      <c r="F27" s="78">
        <v>853650</v>
      </c>
      <c r="G27" s="78"/>
      <c r="H27" s="78">
        <v>826550</v>
      </c>
      <c r="I27" s="78">
        <v>826550</v>
      </c>
      <c r="J27" s="78">
        <v>853650</v>
      </c>
      <c r="K27" s="1032"/>
      <c r="L27" s="958">
        <f t="shared" si="13"/>
        <v>0</v>
      </c>
      <c r="M27" s="958">
        <f t="shared" si="14"/>
        <v>1</v>
      </c>
      <c r="N27" s="958">
        <f t="shared" si="15"/>
        <v>1.0327868852459017</v>
      </c>
      <c r="O27" s="1032"/>
      <c r="P27" s="934">
        <f t="shared" si="16"/>
        <v>826550</v>
      </c>
      <c r="Q27" s="934">
        <f t="shared" si="17"/>
        <v>0</v>
      </c>
      <c r="R27" s="934">
        <f t="shared" si="18"/>
        <v>27100</v>
      </c>
      <c r="S27" s="934">
        <f t="shared" si="19"/>
        <v>853650</v>
      </c>
      <c r="T27" s="1007">
        <f t="shared" si="20"/>
        <v>0</v>
      </c>
      <c r="U27" s="1006"/>
      <c r="V27" s="906">
        <f t="shared" si="21"/>
        <v>0</v>
      </c>
      <c r="W27" s="543"/>
      <c r="X27" s="486"/>
      <c r="Y27" s="486"/>
    </row>
    <row r="28" spans="1:25" x14ac:dyDescent="0.25">
      <c r="A28" s="1034"/>
      <c r="B28" s="1035"/>
      <c r="C28" s="1036"/>
      <c r="D28" s="78"/>
      <c r="E28" s="78"/>
      <c r="F28" s="78"/>
      <c r="G28" s="78"/>
      <c r="H28" s="78"/>
      <c r="I28" s="78"/>
      <c r="J28" s="78"/>
      <c r="K28" s="1032"/>
      <c r="L28" s="948">
        <f t="shared" si="13"/>
        <v>0</v>
      </c>
      <c r="M28" s="948">
        <f t="shared" si="14"/>
        <v>0</v>
      </c>
      <c r="N28" s="948">
        <f t="shared" si="15"/>
        <v>0</v>
      </c>
      <c r="O28" s="1032"/>
      <c r="P28" s="934"/>
      <c r="Q28" s="934"/>
      <c r="R28" s="934"/>
      <c r="S28" s="934"/>
      <c r="T28" s="1007"/>
      <c r="U28" s="1006"/>
      <c r="V28" s="906">
        <f t="shared" si="21"/>
        <v>0</v>
      </c>
      <c r="W28" s="543"/>
      <c r="X28" s="486"/>
      <c r="Y28" s="486"/>
    </row>
    <row r="29" spans="1:25" x14ac:dyDescent="0.25">
      <c r="A29" s="5" t="s">
        <v>27</v>
      </c>
      <c r="B29" s="5" t="s">
        <v>28</v>
      </c>
      <c r="C29" s="1029">
        <f>SUM(C30:C31)</f>
        <v>18584000</v>
      </c>
      <c r="D29" s="1029">
        <f t="shared" ref="D29:J29" si="22">SUM(D30:D31)</f>
        <v>18584000</v>
      </c>
      <c r="E29" s="1029">
        <f t="shared" si="22"/>
        <v>18584000</v>
      </c>
      <c r="F29" s="1029">
        <f t="shared" si="22"/>
        <v>19934000</v>
      </c>
      <c r="G29" s="1029"/>
      <c r="H29" s="1029">
        <f t="shared" si="22"/>
        <v>10686574</v>
      </c>
      <c r="I29" s="1029">
        <f t="shared" si="22"/>
        <v>15377304</v>
      </c>
      <c r="J29" s="1029">
        <f t="shared" si="22"/>
        <v>19930824</v>
      </c>
      <c r="K29" s="1030"/>
      <c r="L29" s="950">
        <f t="shared" si="13"/>
        <v>0.57504164873009045</v>
      </c>
      <c r="M29" s="950">
        <f t="shared" si="14"/>
        <v>0.82744855789926819</v>
      </c>
      <c r="N29" s="950">
        <f t="shared" si="15"/>
        <v>1.0724722341799398</v>
      </c>
      <c r="O29" s="1030"/>
      <c r="P29" s="1031">
        <f t="shared" si="16"/>
        <v>0</v>
      </c>
      <c r="Q29" s="1031">
        <f t="shared" si="17"/>
        <v>0</v>
      </c>
      <c r="R29" s="1031">
        <f t="shared" si="18"/>
        <v>1350000</v>
      </c>
      <c r="S29" s="1031">
        <f t="shared" si="19"/>
        <v>1350000</v>
      </c>
      <c r="T29" s="1005">
        <f t="shared" si="20"/>
        <v>7.2643133878605257E-2</v>
      </c>
      <c r="U29" s="1006"/>
      <c r="V29" s="906">
        <f t="shared" si="21"/>
        <v>0</v>
      </c>
      <c r="W29" s="543"/>
      <c r="X29" s="486"/>
      <c r="Y29" s="486"/>
    </row>
    <row r="30" spans="1:25" x14ac:dyDescent="0.25">
      <c r="A30" s="14"/>
      <c r="B30" s="14" t="s">
        <v>29</v>
      </c>
      <c r="C30" s="123">
        <v>18584000</v>
      </c>
      <c r="D30" s="78">
        <v>18584000</v>
      </c>
      <c r="E30" s="78">
        <v>18584000</v>
      </c>
      <c r="F30" s="78">
        <v>19934000</v>
      </c>
      <c r="G30" s="78"/>
      <c r="H30" s="78">
        <v>10686574</v>
      </c>
      <c r="I30" s="78">
        <v>15377304</v>
      </c>
      <c r="J30" s="78">
        <v>19930824</v>
      </c>
      <c r="K30" s="1032"/>
      <c r="L30" s="958">
        <f t="shared" si="13"/>
        <v>0.57504164873009045</v>
      </c>
      <c r="M30" s="958">
        <f t="shared" si="14"/>
        <v>0.82744855789926819</v>
      </c>
      <c r="N30" s="958">
        <f t="shared" si="15"/>
        <v>1.0724722341799398</v>
      </c>
      <c r="O30" s="1032"/>
      <c r="P30" s="934">
        <f t="shared" si="16"/>
        <v>0</v>
      </c>
      <c r="Q30" s="934">
        <f t="shared" si="17"/>
        <v>0</v>
      </c>
      <c r="R30" s="934">
        <f t="shared" si="18"/>
        <v>1350000</v>
      </c>
      <c r="S30" s="934">
        <f t="shared" si="19"/>
        <v>1350000</v>
      </c>
      <c r="T30" s="1007">
        <f t="shared" si="20"/>
        <v>7.2643133878605257E-2</v>
      </c>
      <c r="U30" s="1006"/>
      <c r="V30" s="906">
        <f t="shared" si="21"/>
        <v>0</v>
      </c>
      <c r="W30" s="543"/>
      <c r="X30" s="486"/>
      <c r="Y30" s="486"/>
    </row>
    <row r="31" spans="1:25" x14ac:dyDescent="0.25">
      <c r="A31" s="14"/>
      <c r="B31" s="951"/>
      <c r="C31" s="123"/>
      <c r="D31" s="78"/>
      <c r="E31" s="78"/>
      <c r="F31" s="78"/>
      <c r="G31" s="78"/>
      <c r="H31" s="78"/>
      <c r="I31" s="78"/>
      <c r="J31" s="78"/>
      <c r="K31" s="1032"/>
      <c r="L31" s="948">
        <f t="shared" si="13"/>
        <v>0</v>
      </c>
      <c r="M31" s="948">
        <f t="shared" si="14"/>
        <v>0</v>
      </c>
      <c r="N31" s="948">
        <f t="shared" si="15"/>
        <v>0</v>
      </c>
      <c r="O31" s="1032"/>
      <c r="P31" s="934"/>
      <c r="Q31" s="934"/>
      <c r="R31" s="934"/>
      <c r="S31" s="934"/>
      <c r="T31" s="1007"/>
      <c r="U31" s="1006"/>
      <c r="V31" s="906">
        <f t="shared" si="21"/>
        <v>0</v>
      </c>
      <c r="W31" s="543"/>
      <c r="X31" s="486"/>
      <c r="Y31" s="486"/>
    </row>
    <row r="32" spans="1:25" x14ac:dyDescent="0.25">
      <c r="A32" s="5" t="s">
        <v>30</v>
      </c>
      <c r="B32" s="5" t="s">
        <v>31</v>
      </c>
      <c r="C32" s="1029">
        <f>+C33+C41+C48+C66+C71</f>
        <v>11532000</v>
      </c>
      <c r="D32" s="1029">
        <f t="shared" ref="D32:J32" si="23">+D33+D41+D48+D66+D71</f>
        <v>11532000</v>
      </c>
      <c r="E32" s="1029">
        <f t="shared" si="23"/>
        <v>11122000</v>
      </c>
      <c r="F32" s="1029">
        <f t="shared" si="23"/>
        <v>10625202</v>
      </c>
      <c r="G32" s="1029"/>
      <c r="H32" s="1029">
        <f t="shared" si="23"/>
        <v>4243117</v>
      </c>
      <c r="I32" s="1029">
        <f t="shared" si="23"/>
        <v>6915450</v>
      </c>
      <c r="J32" s="1029">
        <f t="shared" si="23"/>
        <v>9325195</v>
      </c>
      <c r="K32" s="1030"/>
      <c r="L32" s="950">
        <f t="shared" si="13"/>
        <v>0.36794285466527921</v>
      </c>
      <c r="M32" s="950">
        <f t="shared" si="14"/>
        <v>0.5996748178980229</v>
      </c>
      <c r="N32" s="950">
        <f t="shared" si="15"/>
        <v>0.83844587304441642</v>
      </c>
      <c r="O32" s="1030"/>
      <c r="P32" s="1031">
        <f t="shared" si="16"/>
        <v>0</v>
      </c>
      <c r="Q32" s="1031">
        <f t="shared" si="17"/>
        <v>-410000</v>
      </c>
      <c r="R32" s="1031">
        <f t="shared" si="18"/>
        <v>-496798</v>
      </c>
      <c r="S32" s="1031">
        <f t="shared" si="19"/>
        <v>-906798</v>
      </c>
      <c r="T32" s="1005">
        <f t="shared" si="20"/>
        <v>-7.8633194588969821E-2</v>
      </c>
      <c r="U32" s="1006"/>
      <c r="V32" s="906">
        <f t="shared" si="21"/>
        <v>0</v>
      </c>
      <c r="W32" s="543"/>
      <c r="X32" s="486"/>
      <c r="Y32" s="486"/>
    </row>
    <row r="33" spans="1:25" x14ac:dyDescent="0.25">
      <c r="A33" s="25" t="s">
        <v>32</v>
      </c>
      <c r="B33" s="25" t="s">
        <v>33</v>
      </c>
      <c r="C33" s="1037">
        <f>SUM(C34:C40)</f>
        <v>2085000</v>
      </c>
      <c r="D33" s="1037">
        <f t="shared" ref="D33:J33" si="24">SUM(D34:D40)</f>
        <v>2085000</v>
      </c>
      <c r="E33" s="1037">
        <f t="shared" si="24"/>
        <v>2085000</v>
      </c>
      <c r="F33" s="1037">
        <f t="shared" si="24"/>
        <v>2235000</v>
      </c>
      <c r="G33" s="1037"/>
      <c r="H33" s="1037">
        <f t="shared" si="24"/>
        <v>992973</v>
      </c>
      <c r="I33" s="1037">
        <f t="shared" si="24"/>
        <v>1547261</v>
      </c>
      <c r="J33" s="1037">
        <f t="shared" si="24"/>
        <v>1936784</v>
      </c>
      <c r="K33" s="1032"/>
      <c r="L33" s="958">
        <f t="shared" si="13"/>
        <v>0.47624604316546765</v>
      </c>
      <c r="M33" s="948">
        <f t="shared" si="14"/>
        <v>0.74209160671462826</v>
      </c>
      <c r="N33" s="948">
        <f t="shared" si="15"/>
        <v>0.92891318944844126</v>
      </c>
      <c r="O33" s="1032"/>
      <c r="P33" s="934">
        <f t="shared" si="16"/>
        <v>0</v>
      </c>
      <c r="Q33" s="934">
        <f t="shared" si="17"/>
        <v>0</v>
      </c>
      <c r="R33" s="934">
        <f t="shared" si="18"/>
        <v>150000</v>
      </c>
      <c r="S33" s="934">
        <f t="shared" si="19"/>
        <v>150000</v>
      </c>
      <c r="T33" s="1007">
        <f t="shared" si="20"/>
        <v>7.1942446043165464E-2</v>
      </c>
      <c r="U33" s="1006"/>
      <c r="V33" s="906">
        <f t="shared" si="21"/>
        <v>0</v>
      </c>
      <c r="W33" s="543"/>
      <c r="X33" s="486"/>
      <c r="Y33" s="486"/>
    </row>
    <row r="34" spans="1:25" x14ac:dyDescent="0.25">
      <c r="A34" s="14" t="s">
        <v>34</v>
      </c>
      <c r="B34" s="14" t="s">
        <v>36</v>
      </c>
      <c r="C34" s="123">
        <v>385000</v>
      </c>
      <c r="D34" s="78">
        <v>385000</v>
      </c>
      <c r="E34" s="78">
        <v>385000</v>
      </c>
      <c r="F34" s="78">
        <v>385000</v>
      </c>
      <c r="G34" s="78"/>
      <c r="H34" s="78">
        <v>189230</v>
      </c>
      <c r="I34" s="78">
        <v>229704</v>
      </c>
      <c r="J34" s="78">
        <v>285004</v>
      </c>
      <c r="K34" s="1032"/>
      <c r="L34" s="958">
        <f t="shared" si="13"/>
        <v>0.4915064935064935</v>
      </c>
      <c r="M34" s="958">
        <f t="shared" si="14"/>
        <v>0.59663376623376618</v>
      </c>
      <c r="N34" s="958">
        <f t="shared" si="15"/>
        <v>0.74027012987012986</v>
      </c>
      <c r="O34" s="1032"/>
      <c r="P34" s="934">
        <f t="shared" si="16"/>
        <v>0</v>
      </c>
      <c r="Q34" s="934">
        <f t="shared" si="17"/>
        <v>0</v>
      </c>
      <c r="R34" s="934">
        <f t="shared" si="18"/>
        <v>0</v>
      </c>
      <c r="S34" s="934">
        <f t="shared" si="19"/>
        <v>0</v>
      </c>
      <c r="T34" s="1007">
        <f t="shared" si="20"/>
        <v>0</v>
      </c>
      <c r="U34" s="1006"/>
      <c r="V34" s="906">
        <f t="shared" si="21"/>
        <v>0</v>
      </c>
      <c r="W34" s="543"/>
      <c r="X34" s="486"/>
      <c r="Y34" s="486"/>
    </row>
    <row r="35" spans="1:25" x14ac:dyDescent="0.25">
      <c r="A35" s="14"/>
      <c r="B35" s="14" t="s">
        <v>90</v>
      </c>
      <c r="C35" s="123"/>
      <c r="D35" s="78"/>
      <c r="E35" s="78"/>
      <c r="F35" s="78"/>
      <c r="G35" s="78"/>
      <c r="H35" s="78"/>
      <c r="I35" s="78"/>
      <c r="J35" s="78"/>
      <c r="K35" s="1032"/>
      <c r="L35" s="958">
        <f t="shared" si="13"/>
        <v>0</v>
      </c>
      <c r="M35" s="958">
        <f t="shared" si="14"/>
        <v>0</v>
      </c>
      <c r="N35" s="958">
        <f t="shared" si="15"/>
        <v>0</v>
      </c>
      <c r="O35" s="1032"/>
      <c r="P35" s="934">
        <f t="shared" si="16"/>
        <v>0</v>
      </c>
      <c r="Q35" s="934">
        <f t="shared" si="17"/>
        <v>0</v>
      </c>
      <c r="R35" s="934">
        <f t="shared" si="18"/>
        <v>0</v>
      </c>
      <c r="S35" s="934">
        <f t="shared" si="19"/>
        <v>0</v>
      </c>
      <c r="T35" s="1007">
        <f t="shared" si="20"/>
        <v>0</v>
      </c>
      <c r="U35" s="1006"/>
      <c r="V35" s="906">
        <f t="shared" si="21"/>
        <v>0</v>
      </c>
      <c r="W35" s="543"/>
      <c r="X35" s="486"/>
      <c r="Y35" s="486"/>
    </row>
    <row r="36" spans="1:25" x14ac:dyDescent="0.25">
      <c r="A36" s="14" t="s">
        <v>35</v>
      </c>
      <c r="B36" s="14" t="s">
        <v>37</v>
      </c>
      <c r="C36" s="123">
        <v>1700000</v>
      </c>
      <c r="D36" s="78">
        <v>1700000</v>
      </c>
      <c r="E36" s="78">
        <v>1700000</v>
      </c>
      <c r="F36" s="78">
        <v>1850000</v>
      </c>
      <c r="G36" s="78"/>
      <c r="H36" s="78">
        <v>803743</v>
      </c>
      <c r="I36" s="78">
        <v>1317557</v>
      </c>
      <c r="J36" s="78">
        <v>1651780</v>
      </c>
      <c r="K36" s="1032"/>
      <c r="L36" s="958">
        <f t="shared" si="13"/>
        <v>0.47278999999999999</v>
      </c>
      <c r="M36" s="958">
        <f t="shared" si="14"/>
        <v>0.77503352941176473</v>
      </c>
      <c r="N36" s="958">
        <f t="shared" si="15"/>
        <v>0.97163529411764704</v>
      </c>
      <c r="O36" s="1032"/>
      <c r="P36" s="934">
        <f t="shared" si="16"/>
        <v>0</v>
      </c>
      <c r="Q36" s="934">
        <f t="shared" si="17"/>
        <v>0</v>
      </c>
      <c r="R36" s="934">
        <f t="shared" si="18"/>
        <v>150000</v>
      </c>
      <c r="S36" s="934">
        <f t="shared" si="19"/>
        <v>150000</v>
      </c>
      <c r="T36" s="1007">
        <f t="shared" si="20"/>
        <v>8.8235294117647065E-2</v>
      </c>
      <c r="U36" s="1006"/>
      <c r="V36" s="906">
        <f t="shared" si="21"/>
        <v>0</v>
      </c>
      <c r="W36" s="543"/>
      <c r="X36" s="486"/>
      <c r="Y36" s="486"/>
    </row>
    <row r="37" spans="1:25" x14ac:dyDescent="0.25">
      <c r="A37" s="14"/>
      <c r="B37" s="14" t="s">
        <v>106</v>
      </c>
      <c r="C37" s="123"/>
      <c r="D37" s="78"/>
      <c r="E37" s="78"/>
      <c r="F37" s="78"/>
      <c r="G37" s="78"/>
      <c r="H37" s="78"/>
      <c r="I37" s="78"/>
      <c r="J37" s="78"/>
      <c r="K37" s="1032"/>
      <c r="L37" s="958">
        <f t="shared" si="13"/>
        <v>0</v>
      </c>
      <c r="M37" s="958">
        <f t="shared" si="14"/>
        <v>0</v>
      </c>
      <c r="N37" s="958">
        <f t="shared" si="15"/>
        <v>0</v>
      </c>
      <c r="O37" s="1032"/>
      <c r="P37" s="934">
        <f t="shared" si="16"/>
        <v>0</v>
      </c>
      <c r="Q37" s="934">
        <f t="shared" si="17"/>
        <v>0</v>
      </c>
      <c r="R37" s="934">
        <f t="shared" si="18"/>
        <v>0</v>
      </c>
      <c r="S37" s="934">
        <f t="shared" si="19"/>
        <v>0</v>
      </c>
      <c r="T37" s="1007">
        <f t="shared" si="20"/>
        <v>0</v>
      </c>
      <c r="U37" s="1006"/>
      <c r="V37" s="906">
        <f t="shared" si="21"/>
        <v>0</v>
      </c>
      <c r="W37" s="543"/>
      <c r="X37" s="486"/>
      <c r="Y37" s="486"/>
    </row>
    <row r="38" spans="1:25" x14ac:dyDescent="0.25">
      <c r="A38" s="14"/>
      <c r="B38" s="14" t="s">
        <v>96</v>
      </c>
      <c r="C38" s="123"/>
      <c r="D38" s="78"/>
      <c r="E38" s="78"/>
      <c r="F38" s="78"/>
      <c r="G38" s="78"/>
      <c r="H38" s="78"/>
      <c r="I38" s="78"/>
      <c r="J38" s="78"/>
      <c r="K38" s="1032"/>
      <c r="L38" s="958">
        <f t="shared" si="13"/>
        <v>0</v>
      </c>
      <c r="M38" s="958">
        <f t="shared" si="14"/>
        <v>0</v>
      </c>
      <c r="N38" s="958">
        <f t="shared" si="15"/>
        <v>0</v>
      </c>
      <c r="O38" s="1032"/>
      <c r="P38" s="934">
        <f t="shared" si="16"/>
        <v>0</v>
      </c>
      <c r="Q38" s="934">
        <f t="shared" si="17"/>
        <v>0</v>
      </c>
      <c r="R38" s="934">
        <f t="shared" si="18"/>
        <v>0</v>
      </c>
      <c r="S38" s="934">
        <f t="shared" si="19"/>
        <v>0</v>
      </c>
      <c r="T38" s="1007">
        <f t="shared" si="20"/>
        <v>0</v>
      </c>
      <c r="U38" s="1006"/>
      <c r="V38" s="906">
        <f t="shared" si="21"/>
        <v>0</v>
      </c>
      <c r="W38" s="543"/>
      <c r="X38" s="486"/>
      <c r="Y38" s="486"/>
    </row>
    <row r="39" spans="1:25" x14ac:dyDescent="0.25">
      <c r="A39" s="14"/>
      <c r="B39" s="14" t="s">
        <v>95</v>
      </c>
      <c r="C39" s="123"/>
      <c r="D39" s="78"/>
      <c r="E39" s="78"/>
      <c r="F39" s="78"/>
      <c r="G39" s="78"/>
      <c r="H39" s="78"/>
      <c r="I39" s="78"/>
      <c r="J39" s="78"/>
      <c r="K39" s="1032"/>
      <c r="L39" s="958">
        <f t="shared" si="13"/>
        <v>0</v>
      </c>
      <c r="M39" s="958">
        <f t="shared" si="14"/>
        <v>0</v>
      </c>
      <c r="N39" s="958">
        <f t="shared" si="15"/>
        <v>0</v>
      </c>
      <c r="O39" s="1032"/>
      <c r="P39" s="934">
        <f t="shared" si="16"/>
        <v>0</v>
      </c>
      <c r="Q39" s="934">
        <f t="shared" si="17"/>
        <v>0</v>
      </c>
      <c r="R39" s="934">
        <f t="shared" si="18"/>
        <v>0</v>
      </c>
      <c r="S39" s="934">
        <f t="shared" si="19"/>
        <v>0</v>
      </c>
      <c r="T39" s="1007">
        <f t="shared" si="20"/>
        <v>0</v>
      </c>
      <c r="U39" s="1006"/>
      <c r="V39" s="906">
        <f t="shared" si="21"/>
        <v>0</v>
      </c>
      <c r="W39" s="543"/>
      <c r="X39" s="486"/>
      <c r="Y39" s="486"/>
    </row>
    <row r="40" spans="1:25" x14ac:dyDescent="0.25">
      <c r="A40" s="14"/>
      <c r="B40" s="14" t="s">
        <v>94</v>
      </c>
      <c r="C40" s="123"/>
      <c r="D40" s="78"/>
      <c r="E40" s="78"/>
      <c r="F40" s="78"/>
      <c r="G40" s="78"/>
      <c r="H40" s="78"/>
      <c r="I40" s="78"/>
      <c r="J40" s="78"/>
      <c r="K40" s="1032"/>
      <c r="L40" s="958">
        <f t="shared" si="13"/>
        <v>0</v>
      </c>
      <c r="M40" s="958">
        <f t="shared" si="14"/>
        <v>0</v>
      </c>
      <c r="N40" s="958">
        <f t="shared" si="15"/>
        <v>0</v>
      </c>
      <c r="O40" s="1032"/>
      <c r="P40" s="934">
        <f t="shared" si="16"/>
        <v>0</v>
      </c>
      <c r="Q40" s="934">
        <f t="shared" si="17"/>
        <v>0</v>
      </c>
      <c r="R40" s="934">
        <f t="shared" si="18"/>
        <v>0</v>
      </c>
      <c r="S40" s="934">
        <f t="shared" si="19"/>
        <v>0</v>
      </c>
      <c r="T40" s="1007">
        <f t="shared" si="20"/>
        <v>0</v>
      </c>
      <c r="U40" s="1006"/>
      <c r="V40" s="906">
        <f t="shared" si="21"/>
        <v>0</v>
      </c>
      <c r="W40" s="543"/>
      <c r="X40" s="486"/>
      <c r="Y40" s="486"/>
    </row>
    <row r="41" spans="1:25" x14ac:dyDescent="0.25">
      <c r="A41" s="25" t="s">
        <v>38</v>
      </c>
      <c r="B41" s="25" t="s">
        <v>39</v>
      </c>
      <c r="C41" s="1037">
        <f>SUM(C42:C47)</f>
        <v>753000</v>
      </c>
      <c r="D41" s="1037">
        <f t="shared" ref="D41:J41" si="25">SUM(D42:D47)</f>
        <v>753000</v>
      </c>
      <c r="E41" s="1037">
        <f t="shared" si="25"/>
        <v>753000</v>
      </c>
      <c r="F41" s="1037">
        <f t="shared" si="25"/>
        <v>753000</v>
      </c>
      <c r="G41" s="1037"/>
      <c r="H41" s="1037">
        <f t="shared" si="25"/>
        <v>294708</v>
      </c>
      <c r="I41" s="1037">
        <f t="shared" si="25"/>
        <v>362782</v>
      </c>
      <c r="J41" s="1037">
        <f t="shared" si="25"/>
        <v>650592</v>
      </c>
      <c r="K41" s="1038"/>
      <c r="L41" s="958">
        <f t="shared" si="13"/>
        <v>0.39137848605577691</v>
      </c>
      <c r="M41" s="999">
        <f t="shared" si="14"/>
        <v>0.48178220451527226</v>
      </c>
      <c r="N41" s="999">
        <f t="shared" si="15"/>
        <v>0.86399999999999999</v>
      </c>
      <c r="O41" s="1038"/>
      <c r="P41" s="1039">
        <f t="shared" si="16"/>
        <v>0</v>
      </c>
      <c r="Q41" s="1039">
        <f t="shared" si="17"/>
        <v>0</v>
      </c>
      <c r="R41" s="1039">
        <f t="shared" si="18"/>
        <v>0</v>
      </c>
      <c r="S41" s="1039">
        <f t="shared" si="19"/>
        <v>0</v>
      </c>
      <c r="T41" s="1007">
        <f t="shared" si="20"/>
        <v>0</v>
      </c>
      <c r="U41" s="1006"/>
      <c r="V41" s="906">
        <f t="shared" si="21"/>
        <v>0</v>
      </c>
      <c r="W41" s="543"/>
      <c r="X41" s="486"/>
      <c r="Y41" s="486"/>
    </row>
    <row r="42" spans="1:25" x14ac:dyDescent="0.25">
      <c r="A42" s="14" t="s">
        <v>40</v>
      </c>
      <c r="B42" s="14" t="s">
        <v>41</v>
      </c>
      <c r="C42" s="123">
        <v>585000</v>
      </c>
      <c r="D42" s="78">
        <v>585000</v>
      </c>
      <c r="E42" s="78">
        <v>585000</v>
      </c>
      <c r="F42" s="78">
        <v>585000</v>
      </c>
      <c r="G42" s="78"/>
      <c r="H42" s="78">
        <v>227298</v>
      </c>
      <c r="I42" s="78">
        <v>258648</v>
      </c>
      <c r="J42" s="78">
        <v>512065</v>
      </c>
      <c r="K42" s="1032"/>
      <c r="L42" s="958">
        <f t="shared" si="13"/>
        <v>0.38854358974358977</v>
      </c>
      <c r="M42" s="958">
        <f t="shared" si="14"/>
        <v>0.44213333333333332</v>
      </c>
      <c r="N42" s="958">
        <f t="shared" si="15"/>
        <v>0.87532478632478627</v>
      </c>
      <c r="O42" s="1032"/>
      <c r="P42" s="934">
        <f t="shared" si="16"/>
        <v>0</v>
      </c>
      <c r="Q42" s="934">
        <f t="shared" si="17"/>
        <v>0</v>
      </c>
      <c r="R42" s="934">
        <f t="shared" si="18"/>
        <v>0</v>
      </c>
      <c r="S42" s="934">
        <f t="shared" si="19"/>
        <v>0</v>
      </c>
      <c r="T42" s="1007">
        <f t="shared" si="20"/>
        <v>0</v>
      </c>
      <c r="U42" s="1006"/>
      <c r="V42" s="906">
        <f t="shared" si="21"/>
        <v>0</v>
      </c>
      <c r="W42" s="543"/>
      <c r="X42" s="486"/>
      <c r="Y42" s="486"/>
    </row>
    <row r="43" spans="1:25" x14ac:dyDescent="0.25">
      <c r="A43" s="14"/>
      <c r="B43" s="14" t="s">
        <v>42</v>
      </c>
      <c r="C43" s="123"/>
      <c r="D43" s="78"/>
      <c r="E43" s="78"/>
      <c r="F43" s="78"/>
      <c r="G43" s="78"/>
      <c r="H43" s="78"/>
      <c r="I43" s="78"/>
      <c r="J43" s="78"/>
      <c r="K43" s="1032"/>
      <c r="L43" s="958">
        <f t="shared" si="13"/>
        <v>0</v>
      </c>
      <c r="M43" s="958">
        <f t="shared" si="14"/>
        <v>0</v>
      </c>
      <c r="N43" s="958">
        <f t="shared" si="15"/>
        <v>0</v>
      </c>
      <c r="O43" s="1032"/>
      <c r="P43" s="934">
        <f t="shared" si="16"/>
        <v>0</v>
      </c>
      <c r="Q43" s="934">
        <f t="shared" si="17"/>
        <v>0</v>
      </c>
      <c r="R43" s="934">
        <f t="shared" si="18"/>
        <v>0</v>
      </c>
      <c r="S43" s="934">
        <f t="shared" si="19"/>
        <v>0</v>
      </c>
      <c r="T43" s="1007">
        <f t="shared" si="20"/>
        <v>0</v>
      </c>
      <c r="U43" s="1006"/>
      <c r="V43" s="906">
        <f t="shared" si="21"/>
        <v>0</v>
      </c>
      <c r="W43" s="543"/>
      <c r="X43" s="486"/>
      <c r="Y43" s="486"/>
    </row>
    <row r="44" spans="1:25" x14ac:dyDescent="0.25">
      <c r="A44" s="14"/>
      <c r="B44" s="14" t="s">
        <v>43</v>
      </c>
      <c r="C44" s="123"/>
      <c r="D44" s="78"/>
      <c r="E44" s="78"/>
      <c r="F44" s="78"/>
      <c r="G44" s="78"/>
      <c r="H44" s="78"/>
      <c r="I44" s="78"/>
      <c r="J44" s="78"/>
      <c r="K44" s="1032"/>
      <c r="L44" s="958">
        <f t="shared" si="13"/>
        <v>0</v>
      </c>
      <c r="M44" s="958">
        <f t="shared" si="14"/>
        <v>0</v>
      </c>
      <c r="N44" s="958">
        <f t="shared" si="15"/>
        <v>0</v>
      </c>
      <c r="O44" s="1032"/>
      <c r="P44" s="934">
        <f t="shared" si="16"/>
        <v>0</v>
      </c>
      <c r="Q44" s="934">
        <f t="shared" si="17"/>
        <v>0</v>
      </c>
      <c r="R44" s="934">
        <f t="shared" si="18"/>
        <v>0</v>
      </c>
      <c r="S44" s="934">
        <f t="shared" si="19"/>
        <v>0</v>
      </c>
      <c r="T44" s="1007">
        <f t="shared" si="20"/>
        <v>0</v>
      </c>
      <c r="U44" s="1006"/>
      <c r="V44" s="906">
        <f t="shared" si="21"/>
        <v>0</v>
      </c>
      <c r="W44" s="543"/>
      <c r="X44" s="486"/>
      <c r="Y44" s="486"/>
    </row>
    <row r="45" spans="1:25" x14ac:dyDescent="0.25">
      <c r="A45" s="14"/>
      <c r="B45" s="14" t="s">
        <v>44</v>
      </c>
      <c r="C45" s="123"/>
      <c r="D45" s="78"/>
      <c r="E45" s="78"/>
      <c r="F45" s="78"/>
      <c r="G45" s="78"/>
      <c r="H45" s="78"/>
      <c r="I45" s="78"/>
      <c r="J45" s="78"/>
      <c r="K45" s="1032"/>
      <c r="L45" s="958">
        <f t="shared" si="13"/>
        <v>0</v>
      </c>
      <c r="M45" s="958">
        <f t="shared" si="14"/>
        <v>0</v>
      </c>
      <c r="N45" s="958">
        <f t="shared" si="15"/>
        <v>0</v>
      </c>
      <c r="O45" s="1032"/>
      <c r="P45" s="934">
        <f t="shared" si="16"/>
        <v>0</v>
      </c>
      <c r="Q45" s="934">
        <f t="shared" si="17"/>
        <v>0</v>
      </c>
      <c r="R45" s="934">
        <f t="shared" si="18"/>
        <v>0</v>
      </c>
      <c r="S45" s="934">
        <f t="shared" si="19"/>
        <v>0</v>
      </c>
      <c r="T45" s="1007">
        <f t="shared" si="20"/>
        <v>0</v>
      </c>
      <c r="U45" s="1006"/>
      <c r="V45" s="906">
        <f t="shared" si="21"/>
        <v>0</v>
      </c>
      <c r="W45" s="543"/>
      <c r="X45" s="486"/>
      <c r="Y45" s="486"/>
    </row>
    <row r="46" spans="1:25" x14ac:dyDescent="0.25">
      <c r="A46" s="14" t="s">
        <v>45</v>
      </c>
      <c r="B46" s="14" t="s">
        <v>46</v>
      </c>
      <c r="C46" s="123">
        <v>168000</v>
      </c>
      <c r="D46" s="78">
        <v>168000</v>
      </c>
      <c r="E46" s="78">
        <v>168000</v>
      </c>
      <c r="F46" s="78">
        <v>168000</v>
      </c>
      <c r="G46" s="78"/>
      <c r="H46" s="78">
        <v>67410</v>
      </c>
      <c r="I46" s="78">
        <v>104134</v>
      </c>
      <c r="J46" s="78">
        <v>138527</v>
      </c>
      <c r="K46" s="1032"/>
      <c r="L46" s="958">
        <f t="shared" si="13"/>
        <v>0.40125</v>
      </c>
      <c r="M46" s="958">
        <f t="shared" si="14"/>
        <v>0.61984523809523806</v>
      </c>
      <c r="N46" s="958">
        <f t="shared" si="15"/>
        <v>0.82456547619047615</v>
      </c>
      <c r="O46" s="1032"/>
      <c r="P46" s="934">
        <f t="shared" si="16"/>
        <v>0</v>
      </c>
      <c r="Q46" s="934">
        <f t="shared" si="17"/>
        <v>0</v>
      </c>
      <c r="R46" s="934">
        <f t="shared" si="18"/>
        <v>0</v>
      </c>
      <c r="S46" s="934">
        <f t="shared" si="19"/>
        <v>0</v>
      </c>
      <c r="T46" s="1007">
        <f t="shared" si="20"/>
        <v>0</v>
      </c>
      <c r="U46" s="1006"/>
      <c r="V46" s="906">
        <f t="shared" si="21"/>
        <v>0</v>
      </c>
      <c r="W46" s="543"/>
      <c r="X46" s="486"/>
      <c r="Y46" s="486"/>
    </row>
    <row r="47" spans="1:25" x14ac:dyDescent="0.25">
      <c r="A47" s="14"/>
      <c r="B47" s="14" t="s">
        <v>47</v>
      </c>
      <c r="C47" s="123"/>
      <c r="D47" s="78"/>
      <c r="E47" s="78"/>
      <c r="F47" s="78"/>
      <c r="G47" s="78"/>
      <c r="H47" s="78"/>
      <c r="I47" s="78"/>
      <c r="J47" s="78"/>
      <c r="K47" s="1032"/>
      <c r="L47" s="958">
        <f t="shared" si="13"/>
        <v>0</v>
      </c>
      <c r="M47" s="958">
        <f t="shared" si="14"/>
        <v>0</v>
      </c>
      <c r="N47" s="958">
        <f t="shared" si="15"/>
        <v>0</v>
      </c>
      <c r="O47" s="1032"/>
      <c r="P47" s="934">
        <f t="shared" si="16"/>
        <v>0</v>
      </c>
      <c r="Q47" s="934">
        <f t="shared" si="17"/>
        <v>0</v>
      </c>
      <c r="R47" s="934">
        <f t="shared" si="18"/>
        <v>0</v>
      </c>
      <c r="S47" s="934">
        <f t="shared" si="19"/>
        <v>0</v>
      </c>
      <c r="T47" s="1007">
        <f t="shared" si="20"/>
        <v>0</v>
      </c>
      <c r="U47" s="1006"/>
      <c r="V47" s="906">
        <f t="shared" si="21"/>
        <v>0</v>
      </c>
      <c r="W47" s="543"/>
      <c r="X47" s="486"/>
      <c r="Y47" s="486"/>
    </row>
    <row r="48" spans="1:25" x14ac:dyDescent="0.25">
      <c r="A48" s="25" t="s">
        <v>48</v>
      </c>
      <c r="B48" s="25" t="s">
        <v>49</v>
      </c>
      <c r="C48" s="1037">
        <f>SUM(C49:C65)</f>
        <v>5628000</v>
      </c>
      <c r="D48" s="1037">
        <f t="shared" ref="D48:J48" si="26">SUM(D49:D65)</f>
        <v>5607000</v>
      </c>
      <c r="E48" s="1037">
        <f t="shared" si="26"/>
        <v>5047000</v>
      </c>
      <c r="F48" s="1037">
        <f t="shared" si="26"/>
        <v>4385202</v>
      </c>
      <c r="G48" s="1037"/>
      <c r="H48" s="1037">
        <f t="shared" si="26"/>
        <v>1981518</v>
      </c>
      <c r="I48" s="1037">
        <f t="shared" si="26"/>
        <v>2993888</v>
      </c>
      <c r="J48" s="1037">
        <f t="shared" si="26"/>
        <v>4012122</v>
      </c>
      <c r="K48" s="1032"/>
      <c r="L48" s="958">
        <f t="shared" si="13"/>
        <v>0.3520820895522388</v>
      </c>
      <c r="M48" s="958">
        <f t="shared" si="14"/>
        <v>0.53395541287676118</v>
      </c>
      <c r="N48" s="958">
        <f t="shared" si="15"/>
        <v>0.79495185258569445</v>
      </c>
      <c r="O48" s="1032"/>
      <c r="P48" s="934">
        <f t="shared" si="16"/>
        <v>-21000</v>
      </c>
      <c r="Q48" s="934">
        <f t="shared" si="17"/>
        <v>-560000</v>
      </c>
      <c r="R48" s="934">
        <f t="shared" si="18"/>
        <v>-661798</v>
      </c>
      <c r="S48" s="934">
        <f t="shared" si="19"/>
        <v>-1242798</v>
      </c>
      <c r="T48" s="1007">
        <f t="shared" si="20"/>
        <v>-0.22082409381663112</v>
      </c>
      <c r="U48" s="1006"/>
      <c r="V48" s="906">
        <f t="shared" si="21"/>
        <v>0</v>
      </c>
      <c r="W48" s="543"/>
      <c r="X48" s="486"/>
      <c r="Y48" s="486"/>
    </row>
    <row r="49" spans="1:25" x14ac:dyDescent="0.25">
      <c r="A49" s="14" t="s">
        <v>50</v>
      </c>
      <c r="B49" s="14" t="s">
        <v>51</v>
      </c>
      <c r="C49" s="123">
        <v>2000000</v>
      </c>
      <c r="D49" s="78">
        <v>1979000</v>
      </c>
      <c r="E49" s="78">
        <v>1979000</v>
      </c>
      <c r="F49" s="78">
        <v>1443314</v>
      </c>
      <c r="G49" s="78"/>
      <c r="H49" s="78">
        <v>751952</v>
      </c>
      <c r="I49" s="78">
        <v>1052044</v>
      </c>
      <c r="J49" s="78">
        <v>1443314</v>
      </c>
      <c r="K49" s="1032"/>
      <c r="L49" s="958">
        <f t="shared" si="13"/>
        <v>0.37597599999999998</v>
      </c>
      <c r="M49" s="958">
        <f t="shared" si="14"/>
        <v>0.53160384032339569</v>
      </c>
      <c r="N49" s="958">
        <f t="shared" si="15"/>
        <v>0.72931480545730165</v>
      </c>
      <c r="O49" s="1032"/>
      <c r="P49" s="934">
        <f t="shared" si="16"/>
        <v>-21000</v>
      </c>
      <c r="Q49" s="934">
        <f t="shared" si="17"/>
        <v>0</v>
      </c>
      <c r="R49" s="934">
        <f t="shared" si="18"/>
        <v>-535686</v>
      </c>
      <c r="S49" s="934">
        <f t="shared" si="19"/>
        <v>-556686</v>
      </c>
      <c r="T49" s="1007">
        <f t="shared" si="20"/>
        <v>-0.27834300000000001</v>
      </c>
      <c r="U49" s="1006"/>
      <c r="V49" s="906">
        <f t="shared" si="21"/>
        <v>0</v>
      </c>
      <c r="W49" s="543"/>
      <c r="X49" s="486"/>
      <c r="Y49" s="486"/>
    </row>
    <row r="50" spans="1:25" x14ac:dyDescent="0.25">
      <c r="A50" s="14" t="s">
        <v>104</v>
      </c>
      <c r="B50" s="14" t="s">
        <v>98</v>
      </c>
      <c r="C50" s="123"/>
      <c r="D50" s="78"/>
      <c r="E50" s="78"/>
      <c r="F50" s="78"/>
      <c r="G50" s="78"/>
      <c r="H50" s="78"/>
      <c r="I50" s="78"/>
      <c r="J50" s="78"/>
      <c r="K50" s="1032"/>
      <c r="L50" s="958">
        <f t="shared" si="13"/>
        <v>0</v>
      </c>
      <c r="M50" s="958">
        <f t="shared" si="14"/>
        <v>0</v>
      </c>
      <c r="N50" s="958">
        <f t="shared" si="15"/>
        <v>0</v>
      </c>
      <c r="O50" s="1032"/>
      <c r="P50" s="934">
        <f t="shared" si="16"/>
        <v>0</v>
      </c>
      <c r="Q50" s="934">
        <f t="shared" si="17"/>
        <v>0</v>
      </c>
      <c r="R50" s="934">
        <f t="shared" si="18"/>
        <v>0</v>
      </c>
      <c r="S50" s="934">
        <f t="shared" si="19"/>
        <v>0</v>
      </c>
      <c r="T50" s="1007">
        <f t="shared" si="20"/>
        <v>0</v>
      </c>
      <c r="U50" s="1006"/>
      <c r="V50" s="906">
        <f t="shared" si="21"/>
        <v>0</v>
      </c>
      <c r="W50" s="543"/>
      <c r="X50" s="486"/>
      <c r="Y50" s="486"/>
    </row>
    <row r="51" spans="1:25" x14ac:dyDescent="0.25">
      <c r="A51" s="14"/>
      <c r="B51" s="14" t="s">
        <v>99</v>
      </c>
      <c r="C51" s="123"/>
      <c r="D51" s="78"/>
      <c r="E51" s="78"/>
      <c r="F51" s="78"/>
      <c r="G51" s="78"/>
      <c r="H51" s="78"/>
      <c r="I51" s="78"/>
      <c r="J51" s="78"/>
      <c r="K51" s="1032"/>
      <c r="L51" s="958">
        <f t="shared" si="13"/>
        <v>0</v>
      </c>
      <c r="M51" s="958">
        <f t="shared" si="14"/>
        <v>0</v>
      </c>
      <c r="N51" s="958">
        <f t="shared" si="15"/>
        <v>0</v>
      </c>
      <c r="O51" s="1032"/>
      <c r="P51" s="934">
        <f t="shared" si="16"/>
        <v>0</v>
      </c>
      <c r="Q51" s="934">
        <f t="shared" si="17"/>
        <v>0</v>
      </c>
      <c r="R51" s="934">
        <f t="shared" si="18"/>
        <v>0</v>
      </c>
      <c r="S51" s="934">
        <f t="shared" si="19"/>
        <v>0</v>
      </c>
      <c r="T51" s="1007">
        <f t="shared" si="20"/>
        <v>0</v>
      </c>
      <c r="U51" s="1006"/>
      <c r="V51" s="906">
        <f t="shared" si="21"/>
        <v>0</v>
      </c>
      <c r="W51" s="543"/>
      <c r="X51" s="486"/>
      <c r="Y51" s="486"/>
    </row>
    <row r="52" spans="1:25" x14ac:dyDescent="0.25">
      <c r="A52" s="14"/>
      <c r="B52" s="14" t="s">
        <v>100</v>
      </c>
      <c r="C52" s="123"/>
      <c r="D52" s="78"/>
      <c r="E52" s="78"/>
      <c r="F52" s="78"/>
      <c r="G52" s="78"/>
      <c r="H52" s="78"/>
      <c r="I52" s="78"/>
      <c r="J52" s="78"/>
      <c r="K52" s="1032"/>
      <c r="L52" s="958">
        <f t="shared" si="13"/>
        <v>0</v>
      </c>
      <c r="M52" s="958">
        <f t="shared" si="14"/>
        <v>0</v>
      </c>
      <c r="N52" s="958">
        <f t="shared" si="15"/>
        <v>0</v>
      </c>
      <c r="O52" s="1032"/>
      <c r="P52" s="934">
        <f t="shared" si="16"/>
        <v>0</v>
      </c>
      <c r="Q52" s="934">
        <f t="shared" si="17"/>
        <v>0</v>
      </c>
      <c r="R52" s="934">
        <f t="shared" si="18"/>
        <v>0</v>
      </c>
      <c r="S52" s="934">
        <f t="shared" si="19"/>
        <v>0</v>
      </c>
      <c r="T52" s="1007">
        <f t="shared" si="20"/>
        <v>0</v>
      </c>
      <c r="U52" s="1006"/>
      <c r="V52" s="906">
        <f t="shared" si="21"/>
        <v>0</v>
      </c>
      <c r="W52" s="543"/>
      <c r="X52" s="486"/>
      <c r="Y52" s="486"/>
    </row>
    <row r="53" spans="1:25" x14ac:dyDescent="0.25">
      <c r="A53" s="14" t="s">
        <v>52</v>
      </c>
      <c r="B53" s="14" t="s">
        <v>53</v>
      </c>
      <c r="C53" s="123">
        <v>0</v>
      </c>
      <c r="D53" s="78">
        <v>0</v>
      </c>
      <c r="E53" s="78">
        <v>0</v>
      </c>
      <c r="F53" s="78">
        <v>0</v>
      </c>
      <c r="G53" s="78"/>
      <c r="H53" s="78">
        <v>0</v>
      </c>
      <c r="I53" s="78">
        <f>+H53</f>
        <v>0</v>
      </c>
      <c r="J53" s="78">
        <v>0</v>
      </c>
      <c r="K53" s="1032"/>
      <c r="L53" s="958">
        <f t="shared" si="13"/>
        <v>0</v>
      </c>
      <c r="M53" s="958">
        <f t="shared" si="14"/>
        <v>0</v>
      </c>
      <c r="N53" s="958">
        <f t="shared" si="15"/>
        <v>0</v>
      </c>
      <c r="O53" s="1032"/>
      <c r="P53" s="934">
        <f t="shared" si="16"/>
        <v>0</v>
      </c>
      <c r="Q53" s="934">
        <f t="shared" si="17"/>
        <v>0</v>
      </c>
      <c r="R53" s="934">
        <f t="shared" si="18"/>
        <v>0</v>
      </c>
      <c r="S53" s="934">
        <f t="shared" si="19"/>
        <v>0</v>
      </c>
      <c r="T53" s="1007">
        <f t="shared" si="20"/>
        <v>0</v>
      </c>
      <c r="U53" s="1006"/>
      <c r="V53" s="906">
        <f t="shared" si="21"/>
        <v>0</v>
      </c>
      <c r="W53" s="543"/>
      <c r="X53" s="486"/>
      <c r="Y53" s="486"/>
    </row>
    <row r="54" spans="1:25" x14ac:dyDescent="0.25">
      <c r="A54" s="14"/>
      <c r="B54" s="14" t="s">
        <v>91</v>
      </c>
      <c r="C54" s="123"/>
      <c r="D54" s="78"/>
      <c r="E54" s="78"/>
      <c r="F54" s="78"/>
      <c r="G54" s="78"/>
      <c r="H54" s="78"/>
      <c r="I54" s="78"/>
      <c r="J54" s="78"/>
      <c r="K54" s="1032"/>
      <c r="L54" s="958">
        <f t="shared" si="13"/>
        <v>0</v>
      </c>
      <c r="M54" s="958">
        <f t="shared" si="14"/>
        <v>0</v>
      </c>
      <c r="N54" s="958">
        <f t="shared" si="15"/>
        <v>0</v>
      </c>
      <c r="O54" s="1032"/>
      <c r="P54" s="934">
        <f t="shared" si="16"/>
        <v>0</v>
      </c>
      <c r="Q54" s="934">
        <f t="shared" si="17"/>
        <v>0</v>
      </c>
      <c r="R54" s="934">
        <f t="shared" si="18"/>
        <v>0</v>
      </c>
      <c r="S54" s="934">
        <f t="shared" si="19"/>
        <v>0</v>
      </c>
      <c r="T54" s="1007">
        <f t="shared" si="20"/>
        <v>0</v>
      </c>
      <c r="U54" s="1006"/>
      <c r="V54" s="906">
        <f t="shared" si="21"/>
        <v>0</v>
      </c>
      <c r="W54" s="543"/>
      <c r="X54" s="486"/>
      <c r="Y54" s="486"/>
    </row>
    <row r="55" spans="1:25" x14ac:dyDescent="0.25">
      <c r="A55" s="14"/>
      <c r="B55" s="14" t="s">
        <v>54</v>
      </c>
      <c r="C55" s="123"/>
      <c r="D55" s="78"/>
      <c r="E55" s="78"/>
      <c r="F55" s="78"/>
      <c r="G55" s="78"/>
      <c r="H55" s="78"/>
      <c r="I55" s="78"/>
      <c r="J55" s="78"/>
      <c r="K55" s="1032"/>
      <c r="L55" s="958">
        <f t="shared" si="13"/>
        <v>0</v>
      </c>
      <c r="M55" s="958">
        <f t="shared" si="14"/>
        <v>0</v>
      </c>
      <c r="N55" s="958">
        <f t="shared" si="15"/>
        <v>0</v>
      </c>
      <c r="O55" s="1032"/>
      <c r="P55" s="934">
        <f t="shared" si="16"/>
        <v>0</v>
      </c>
      <c r="Q55" s="934">
        <f t="shared" si="17"/>
        <v>0</v>
      </c>
      <c r="R55" s="934">
        <f t="shared" si="18"/>
        <v>0</v>
      </c>
      <c r="S55" s="934">
        <f t="shared" si="19"/>
        <v>0</v>
      </c>
      <c r="T55" s="1007">
        <f t="shared" si="20"/>
        <v>0</v>
      </c>
      <c r="U55" s="1006"/>
      <c r="V55" s="906">
        <f t="shared" si="21"/>
        <v>0</v>
      </c>
      <c r="W55" s="543"/>
      <c r="X55" s="486"/>
      <c r="Y55" s="486"/>
    </row>
    <row r="56" spans="1:25" x14ac:dyDescent="0.25">
      <c r="A56" s="14" t="s">
        <v>55</v>
      </c>
      <c r="B56" s="14" t="s">
        <v>56</v>
      </c>
      <c r="C56" s="123">
        <v>13000</v>
      </c>
      <c r="D56" s="78">
        <v>13000</v>
      </c>
      <c r="E56" s="78">
        <v>13000</v>
      </c>
      <c r="F56" s="78">
        <v>13000</v>
      </c>
      <c r="G56" s="78"/>
      <c r="H56" s="78">
        <v>0</v>
      </c>
      <c r="I56" s="78">
        <v>0</v>
      </c>
      <c r="J56" s="78">
        <v>0</v>
      </c>
      <c r="K56" s="1032"/>
      <c r="L56" s="958">
        <f t="shared" si="13"/>
        <v>0</v>
      </c>
      <c r="M56" s="958">
        <f t="shared" si="14"/>
        <v>0</v>
      </c>
      <c r="N56" s="958">
        <f t="shared" si="15"/>
        <v>0</v>
      </c>
      <c r="O56" s="1032"/>
      <c r="P56" s="934">
        <f t="shared" si="16"/>
        <v>0</v>
      </c>
      <c r="Q56" s="934">
        <f t="shared" si="17"/>
        <v>0</v>
      </c>
      <c r="R56" s="934">
        <f t="shared" si="18"/>
        <v>0</v>
      </c>
      <c r="S56" s="934">
        <f t="shared" si="19"/>
        <v>0</v>
      </c>
      <c r="T56" s="1007">
        <f t="shared" si="20"/>
        <v>0</v>
      </c>
      <c r="U56" s="1006"/>
      <c r="V56" s="906">
        <f t="shared" si="21"/>
        <v>0</v>
      </c>
      <c r="W56" s="543"/>
      <c r="X56" s="486"/>
      <c r="Y56" s="486"/>
    </row>
    <row r="57" spans="1:25" x14ac:dyDescent="0.25">
      <c r="A57" s="14"/>
      <c r="B57" s="14" t="s">
        <v>57</v>
      </c>
      <c r="C57" s="123"/>
      <c r="D57" s="78"/>
      <c r="E57" s="78"/>
      <c r="F57" s="78"/>
      <c r="G57" s="78"/>
      <c r="H57" s="78"/>
      <c r="I57" s="78"/>
      <c r="J57" s="78"/>
      <c r="K57" s="1032"/>
      <c r="L57" s="958">
        <f t="shared" si="13"/>
        <v>0</v>
      </c>
      <c r="M57" s="958">
        <f t="shared" si="14"/>
        <v>0</v>
      </c>
      <c r="N57" s="958">
        <f t="shared" si="15"/>
        <v>0</v>
      </c>
      <c r="O57" s="1032"/>
      <c r="P57" s="934">
        <f t="shared" si="16"/>
        <v>0</v>
      </c>
      <c r="Q57" s="934">
        <f t="shared" si="17"/>
        <v>0</v>
      </c>
      <c r="R57" s="934">
        <f t="shared" si="18"/>
        <v>0</v>
      </c>
      <c r="S57" s="934">
        <f t="shared" si="19"/>
        <v>0</v>
      </c>
      <c r="T57" s="1007">
        <f t="shared" si="20"/>
        <v>0</v>
      </c>
      <c r="U57" s="1006"/>
      <c r="V57" s="906">
        <f t="shared" si="21"/>
        <v>0</v>
      </c>
      <c r="W57" s="543"/>
      <c r="X57" s="486"/>
      <c r="Y57" s="486"/>
    </row>
    <row r="58" spans="1:25" x14ac:dyDescent="0.25">
      <c r="A58" s="14" t="s">
        <v>58</v>
      </c>
      <c r="B58" s="14" t="s">
        <v>92</v>
      </c>
      <c r="C58" s="123">
        <v>15000</v>
      </c>
      <c r="D58" s="78">
        <v>15000</v>
      </c>
      <c r="E58" s="78">
        <v>15000</v>
      </c>
      <c r="F58" s="78">
        <v>60000</v>
      </c>
      <c r="G58" s="78"/>
      <c r="H58" s="78">
        <v>0</v>
      </c>
      <c r="I58" s="78">
        <v>0</v>
      </c>
      <c r="J58" s="78">
        <v>60000</v>
      </c>
      <c r="K58" s="1032"/>
      <c r="L58" s="958">
        <f t="shared" si="13"/>
        <v>0</v>
      </c>
      <c r="M58" s="958">
        <f t="shared" si="14"/>
        <v>0</v>
      </c>
      <c r="N58" s="958">
        <f t="shared" si="15"/>
        <v>4</v>
      </c>
      <c r="O58" s="1032"/>
      <c r="P58" s="934">
        <f t="shared" si="16"/>
        <v>0</v>
      </c>
      <c r="Q58" s="934">
        <f t="shared" si="17"/>
        <v>0</v>
      </c>
      <c r="R58" s="934">
        <f t="shared" si="18"/>
        <v>45000</v>
      </c>
      <c r="S58" s="934">
        <f t="shared" si="19"/>
        <v>45000</v>
      </c>
      <c r="T58" s="1007">
        <f t="shared" si="20"/>
        <v>3</v>
      </c>
      <c r="U58" s="1006"/>
      <c r="V58" s="906">
        <f t="shared" si="21"/>
        <v>0</v>
      </c>
      <c r="W58" s="543"/>
      <c r="X58" s="486"/>
      <c r="Y58" s="486"/>
    </row>
    <row r="59" spans="1:25" x14ac:dyDescent="0.25">
      <c r="A59" s="14"/>
      <c r="B59" s="14" t="s">
        <v>59</v>
      </c>
      <c r="C59" s="123"/>
      <c r="D59" s="78"/>
      <c r="E59" s="78"/>
      <c r="F59" s="78"/>
      <c r="G59" s="78"/>
      <c r="H59" s="78"/>
      <c r="I59" s="78"/>
      <c r="J59" s="78"/>
      <c r="K59" s="1032"/>
      <c r="L59" s="958">
        <f t="shared" si="13"/>
        <v>0</v>
      </c>
      <c r="M59" s="958">
        <f t="shared" si="14"/>
        <v>0</v>
      </c>
      <c r="N59" s="958">
        <f t="shared" si="15"/>
        <v>0</v>
      </c>
      <c r="O59" s="1032"/>
      <c r="P59" s="934">
        <f t="shared" si="16"/>
        <v>0</v>
      </c>
      <c r="Q59" s="934">
        <f t="shared" si="17"/>
        <v>0</v>
      </c>
      <c r="R59" s="934">
        <f t="shared" si="18"/>
        <v>0</v>
      </c>
      <c r="S59" s="934">
        <f t="shared" si="19"/>
        <v>0</v>
      </c>
      <c r="T59" s="1007">
        <f t="shared" si="20"/>
        <v>0</v>
      </c>
      <c r="U59" s="1006"/>
      <c r="V59" s="906">
        <f t="shared" si="21"/>
        <v>0</v>
      </c>
      <c r="W59" s="543"/>
      <c r="X59" s="486"/>
      <c r="Y59" s="486"/>
    </row>
    <row r="60" spans="1:25" x14ac:dyDescent="0.25">
      <c r="A60" s="14" t="s">
        <v>60</v>
      </c>
      <c r="B60" s="14" t="s">
        <v>61</v>
      </c>
      <c r="C60" s="123">
        <v>0</v>
      </c>
      <c r="D60" s="78">
        <v>0</v>
      </c>
      <c r="E60" s="78">
        <v>0</v>
      </c>
      <c r="F60" s="78">
        <v>0</v>
      </c>
      <c r="G60" s="78"/>
      <c r="H60" s="78"/>
      <c r="I60" s="78"/>
      <c r="J60" s="78"/>
      <c r="K60" s="1032"/>
      <c r="L60" s="958">
        <f t="shared" si="13"/>
        <v>0</v>
      </c>
      <c r="M60" s="958">
        <f t="shared" si="14"/>
        <v>0</v>
      </c>
      <c r="N60" s="958">
        <f t="shared" si="15"/>
        <v>0</v>
      </c>
      <c r="O60" s="1032"/>
      <c r="P60" s="934">
        <f t="shared" si="16"/>
        <v>0</v>
      </c>
      <c r="Q60" s="934">
        <f t="shared" si="17"/>
        <v>0</v>
      </c>
      <c r="R60" s="934">
        <f t="shared" si="18"/>
        <v>0</v>
      </c>
      <c r="S60" s="934">
        <f t="shared" si="19"/>
        <v>0</v>
      </c>
      <c r="T60" s="1007">
        <f t="shared" si="20"/>
        <v>0</v>
      </c>
      <c r="U60" s="1006"/>
      <c r="V60" s="906">
        <f t="shared" si="21"/>
        <v>0</v>
      </c>
      <c r="W60" s="543"/>
      <c r="X60" s="486"/>
      <c r="Y60" s="486"/>
    </row>
    <row r="61" spans="1:25" ht="26.4" x14ac:dyDescent="0.25">
      <c r="A61" s="14"/>
      <c r="B61" s="14" t="s">
        <v>62</v>
      </c>
      <c r="C61" s="123"/>
      <c r="D61" s="78"/>
      <c r="E61" s="78"/>
      <c r="F61" s="78"/>
      <c r="G61" s="78"/>
      <c r="H61" s="78"/>
      <c r="I61" s="78"/>
      <c r="J61" s="78"/>
      <c r="K61" s="1032"/>
      <c r="L61" s="958">
        <f t="shared" si="13"/>
        <v>0</v>
      </c>
      <c r="M61" s="958">
        <f t="shared" si="14"/>
        <v>0</v>
      </c>
      <c r="N61" s="958">
        <f t="shared" si="15"/>
        <v>0</v>
      </c>
      <c r="O61" s="1032"/>
      <c r="P61" s="934">
        <f t="shared" si="16"/>
        <v>0</v>
      </c>
      <c r="Q61" s="934">
        <f t="shared" si="17"/>
        <v>0</v>
      </c>
      <c r="R61" s="934">
        <f t="shared" si="18"/>
        <v>0</v>
      </c>
      <c r="S61" s="934">
        <f t="shared" si="19"/>
        <v>0</v>
      </c>
      <c r="T61" s="1007">
        <f t="shared" si="20"/>
        <v>0</v>
      </c>
      <c r="U61" s="1006"/>
      <c r="V61" s="906">
        <f t="shared" si="21"/>
        <v>0</v>
      </c>
      <c r="W61" s="543"/>
      <c r="X61" s="486"/>
      <c r="Y61" s="486"/>
    </row>
    <row r="62" spans="1:25" x14ac:dyDescent="0.25">
      <c r="A62" s="14" t="s">
        <v>63</v>
      </c>
      <c r="B62" s="14" t="s">
        <v>64</v>
      </c>
      <c r="C62" s="123">
        <v>1100000</v>
      </c>
      <c r="D62" s="78">
        <v>1100000</v>
      </c>
      <c r="E62" s="78">
        <v>1100000</v>
      </c>
      <c r="F62" s="78">
        <v>1100000</v>
      </c>
      <c r="G62" s="78"/>
      <c r="H62" s="78">
        <v>426500</v>
      </c>
      <c r="I62" s="78">
        <v>845898</v>
      </c>
      <c r="J62" s="78">
        <v>998898</v>
      </c>
      <c r="K62" s="1032"/>
      <c r="L62" s="958">
        <f t="shared" si="13"/>
        <v>0.38772727272727275</v>
      </c>
      <c r="M62" s="958">
        <f t="shared" si="14"/>
        <v>0.7689981818181818</v>
      </c>
      <c r="N62" s="958">
        <f t="shared" si="15"/>
        <v>0.90808909090909096</v>
      </c>
      <c r="O62" s="1032"/>
      <c r="P62" s="934">
        <f t="shared" si="16"/>
        <v>0</v>
      </c>
      <c r="Q62" s="934">
        <f t="shared" si="17"/>
        <v>0</v>
      </c>
      <c r="R62" s="934">
        <f t="shared" si="18"/>
        <v>0</v>
      </c>
      <c r="S62" s="934">
        <f t="shared" si="19"/>
        <v>0</v>
      </c>
      <c r="T62" s="1007">
        <f t="shared" si="20"/>
        <v>0</v>
      </c>
      <c r="U62" s="1006"/>
      <c r="V62" s="906">
        <f t="shared" si="21"/>
        <v>0</v>
      </c>
      <c r="W62" s="543"/>
      <c r="X62" s="486"/>
      <c r="Y62" s="486"/>
    </row>
    <row r="63" spans="1:25" ht="27" customHeight="1" x14ac:dyDescent="0.25">
      <c r="A63" s="14"/>
      <c r="B63" s="14" t="s">
        <v>103</v>
      </c>
      <c r="C63" s="123"/>
      <c r="D63" s="78"/>
      <c r="E63" s="78"/>
      <c r="F63" s="78"/>
      <c r="G63" s="78"/>
      <c r="H63" s="78"/>
      <c r="I63" s="78"/>
      <c r="J63" s="78"/>
      <c r="K63" s="1032"/>
      <c r="L63" s="958">
        <f t="shared" si="13"/>
        <v>0</v>
      </c>
      <c r="M63" s="958">
        <f t="shared" si="14"/>
        <v>0</v>
      </c>
      <c r="N63" s="958">
        <f t="shared" si="15"/>
        <v>0</v>
      </c>
      <c r="O63" s="1032"/>
      <c r="P63" s="934">
        <f t="shared" si="16"/>
        <v>0</v>
      </c>
      <c r="Q63" s="934">
        <f t="shared" si="17"/>
        <v>0</v>
      </c>
      <c r="R63" s="934">
        <f t="shared" si="18"/>
        <v>0</v>
      </c>
      <c r="S63" s="934">
        <f t="shared" si="19"/>
        <v>0</v>
      </c>
      <c r="T63" s="1007">
        <f t="shared" si="20"/>
        <v>0</v>
      </c>
      <c r="U63" s="1006"/>
      <c r="V63" s="906">
        <f t="shared" si="21"/>
        <v>0</v>
      </c>
      <c r="W63" s="543"/>
      <c r="X63" s="486"/>
      <c r="Y63" s="486"/>
    </row>
    <row r="64" spans="1:25" x14ac:dyDescent="0.25">
      <c r="A64" s="14" t="s">
        <v>65</v>
      </c>
      <c r="B64" s="14" t="s">
        <v>66</v>
      </c>
      <c r="C64" s="123">
        <v>2500000</v>
      </c>
      <c r="D64" s="78">
        <v>2500000</v>
      </c>
      <c r="E64" s="78">
        <v>1940000</v>
      </c>
      <c r="F64" s="78">
        <v>1768888</v>
      </c>
      <c r="G64" s="78"/>
      <c r="H64" s="78">
        <v>803066</v>
      </c>
      <c r="I64" s="78">
        <v>1095946</v>
      </c>
      <c r="J64" s="78">
        <v>1509910</v>
      </c>
      <c r="K64" s="1032"/>
      <c r="L64" s="958">
        <f t="shared" si="13"/>
        <v>0.32122640000000002</v>
      </c>
      <c r="M64" s="958">
        <f t="shared" si="14"/>
        <v>0.4383784</v>
      </c>
      <c r="N64" s="958">
        <f t="shared" si="15"/>
        <v>0.77830412371134017</v>
      </c>
      <c r="O64" s="1032"/>
      <c r="P64" s="934">
        <f t="shared" si="16"/>
        <v>0</v>
      </c>
      <c r="Q64" s="934">
        <f t="shared" si="17"/>
        <v>-560000</v>
      </c>
      <c r="R64" s="934">
        <f t="shared" si="18"/>
        <v>-171112</v>
      </c>
      <c r="S64" s="934">
        <f t="shared" si="19"/>
        <v>-731112</v>
      </c>
      <c r="T64" s="1007">
        <f t="shared" si="20"/>
        <v>-0.2924448</v>
      </c>
      <c r="U64" s="1006"/>
      <c r="V64" s="906">
        <f t="shared" si="21"/>
        <v>0</v>
      </c>
      <c r="W64" s="543"/>
      <c r="X64" s="486"/>
      <c r="Y64" s="486"/>
    </row>
    <row r="65" spans="1:25" ht="39.6" x14ac:dyDescent="0.25">
      <c r="A65" s="14"/>
      <c r="B65" s="14" t="s">
        <v>67</v>
      </c>
      <c r="C65" s="123"/>
      <c r="D65" s="78"/>
      <c r="E65" s="78"/>
      <c r="F65" s="78"/>
      <c r="G65" s="78"/>
      <c r="H65" s="78"/>
      <c r="I65" s="78"/>
      <c r="J65" s="78"/>
      <c r="K65" s="1032"/>
      <c r="L65" s="958">
        <f t="shared" si="13"/>
        <v>0</v>
      </c>
      <c r="M65" s="958">
        <f t="shared" si="14"/>
        <v>0</v>
      </c>
      <c r="N65" s="958">
        <f t="shared" si="15"/>
        <v>0</v>
      </c>
      <c r="O65" s="1032"/>
      <c r="P65" s="934">
        <f t="shared" si="16"/>
        <v>0</v>
      </c>
      <c r="Q65" s="934">
        <f t="shared" si="17"/>
        <v>0</v>
      </c>
      <c r="R65" s="934">
        <f t="shared" si="18"/>
        <v>0</v>
      </c>
      <c r="S65" s="934">
        <f t="shared" si="19"/>
        <v>0</v>
      </c>
      <c r="T65" s="1007">
        <f t="shared" si="20"/>
        <v>0</v>
      </c>
      <c r="U65" s="1006"/>
      <c r="V65" s="906">
        <f t="shared" si="21"/>
        <v>0</v>
      </c>
      <c r="W65" s="543"/>
      <c r="X65" s="486"/>
      <c r="Y65" s="486"/>
    </row>
    <row r="66" spans="1:25" x14ac:dyDescent="0.25">
      <c r="A66" s="25" t="s">
        <v>68</v>
      </c>
      <c r="B66" s="25" t="s">
        <v>69</v>
      </c>
      <c r="C66" s="1037">
        <f>SUM(C67:C70)</f>
        <v>1200000</v>
      </c>
      <c r="D66" s="1037">
        <f t="shared" ref="D66:J66" si="27">SUM(D67:D70)</f>
        <v>1200000</v>
      </c>
      <c r="E66" s="1037">
        <f t="shared" si="27"/>
        <v>1200000</v>
      </c>
      <c r="F66" s="1037">
        <f t="shared" si="27"/>
        <v>1215000</v>
      </c>
      <c r="G66" s="1037"/>
      <c r="H66" s="1037">
        <f t="shared" si="27"/>
        <v>48409</v>
      </c>
      <c r="I66" s="1037">
        <f t="shared" si="27"/>
        <v>584815</v>
      </c>
      <c r="J66" s="1037">
        <f t="shared" si="27"/>
        <v>1009025</v>
      </c>
      <c r="K66" s="1032"/>
      <c r="L66" s="958">
        <f t="shared" si="13"/>
        <v>4.0340833333333333E-2</v>
      </c>
      <c r="M66" s="958">
        <f t="shared" si="14"/>
        <v>0.48734583333333331</v>
      </c>
      <c r="N66" s="958">
        <f t="shared" si="15"/>
        <v>0.84085416666666668</v>
      </c>
      <c r="O66" s="1032"/>
      <c r="P66" s="934">
        <f t="shared" si="16"/>
        <v>0</v>
      </c>
      <c r="Q66" s="934">
        <f t="shared" si="17"/>
        <v>0</v>
      </c>
      <c r="R66" s="934">
        <f t="shared" si="18"/>
        <v>15000</v>
      </c>
      <c r="S66" s="934">
        <f t="shared" si="19"/>
        <v>15000</v>
      </c>
      <c r="T66" s="1007">
        <f t="shared" si="20"/>
        <v>1.2500000000000001E-2</v>
      </c>
      <c r="U66" s="1006"/>
      <c r="V66" s="906">
        <f t="shared" si="21"/>
        <v>0</v>
      </c>
      <c r="W66" s="543"/>
      <c r="X66" s="486"/>
      <c r="Y66" s="486"/>
    </row>
    <row r="67" spans="1:25" x14ac:dyDescent="0.25">
      <c r="A67" s="14" t="s">
        <v>70</v>
      </c>
      <c r="B67" s="14" t="s">
        <v>71</v>
      </c>
      <c r="C67" s="123">
        <v>1200000</v>
      </c>
      <c r="D67" s="78">
        <v>1200000</v>
      </c>
      <c r="E67" s="78">
        <v>1200000</v>
      </c>
      <c r="F67" s="78">
        <v>1215000</v>
      </c>
      <c r="G67" s="78"/>
      <c r="H67" s="78">
        <v>48409</v>
      </c>
      <c r="I67" s="78">
        <v>584815</v>
      </c>
      <c r="J67" s="78">
        <v>1009025</v>
      </c>
      <c r="K67" s="1032"/>
      <c r="L67" s="958">
        <f t="shared" si="13"/>
        <v>4.0340833333333333E-2</v>
      </c>
      <c r="M67" s="958">
        <f t="shared" si="14"/>
        <v>0.48734583333333331</v>
      </c>
      <c r="N67" s="958">
        <f t="shared" si="15"/>
        <v>0.84085416666666668</v>
      </c>
      <c r="O67" s="1032"/>
      <c r="P67" s="934">
        <f t="shared" si="16"/>
        <v>0</v>
      </c>
      <c r="Q67" s="934">
        <f t="shared" si="17"/>
        <v>0</v>
      </c>
      <c r="R67" s="934">
        <f t="shared" si="18"/>
        <v>15000</v>
      </c>
      <c r="S67" s="934">
        <f t="shared" si="19"/>
        <v>15000</v>
      </c>
      <c r="T67" s="1007">
        <f t="shared" si="20"/>
        <v>1.2500000000000001E-2</v>
      </c>
      <c r="U67" s="1006"/>
      <c r="V67" s="906">
        <f t="shared" si="21"/>
        <v>0</v>
      </c>
      <c r="W67" s="543"/>
      <c r="X67" s="486"/>
      <c r="Y67" s="486"/>
    </row>
    <row r="68" spans="1:25" ht="39.6" x14ac:dyDescent="0.25">
      <c r="A68" s="14"/>
      <c r="B68" s="14" t="s">
        <v>72</v>
      </c>
      <c r="C68" s="123"/>
      <c r="D68" s="78"/>
      <c r="E68" s="78"/>
      <c r="F68" s="78"/>
      <c r="G68" s="78"/>
      <c r="H68" s="78"/>
      <c r="I68" s="78"/>
      <c r="J68" s="78"/>
      <c r="K68" s="1032"/>
      <c r="L68" s="958">
        <f t="shared" si="13"/>
        <v>0</v>
      </c>
      <c r="M68" s="958">
        <f t="shared" si="14"/>
        <v>0</v>
      </c>
      <c r="N68" s="958">
        <f t="shared" si="15"/>
        <v>0</v>
      </c>
      <c r="O68" s="1032"/>
      <c r="P68" s="934">
        <f t="shared" si="16"/>
        <v>0</v>
      </c>
      <c r="Q68" s="934">
        <f t="shared" si="17"/>
        <v>0</v>
      </c>
      <c r="R68" s="934">
        <f t="shared" si="18"/>
        <v>0</v>
      </c>
      <c r="S68" s="934">
        <f t="shared" si="19"/>
        <v>0</v>
      </c>
      <c r="T68" s="1007">
        <f t="shared" si="20"/>
        <v>0</v>
      </c>
      <c r="U68" s="1006"/>
      <c r="V68" s="906">
        <f t="shared" si="21"/>
        <v>0</v>
      </c>
      <c r="W68" s="543"/>
      <c r="X68" s="486"/>
      <c r="Y68" s="486"/>
    </row>
    <row r="69" spans="1:25" x14ac:dyDescent="0.25">
      <c r="A69" s="14" t="s">
        <v>73</v>
      </c>
      <c r="B69" s="14" t="s">
        <v>101</v>
      </c>
      <c r="C69" s="123">
        <v>0</v>
      </c>
      <c r="D69" s="78">
        <v>0</v>
      </c>
      <c r="E69" s="78">
        <v>0</v>
      </c>
      <c r="F69" s="78"/>
      <c r="G69" s="78"/>
      <c r="H69" s="78">
        <v>0</v>
      </c>
      <c r="I69" s="78">
        <v>0</v>
      </c>
      <c r="J69" s="78">
        <v>0</v>
      </c>
      <c r="K69" s="1032"/>
      <c r="L69" s="958">
        <f t="shared" si="13"/>
        <v>0</v>
      </c>
      <c r="M69" s="958">
        <f t="shared" si="14"/>
        <v>0</v>
      </c>
      <c r="N69" s="958">
        <f t="shared" si="15"/>
        <v>0</v>
      </c>
      <c r="O69" s="1032"/>
      <c r="P69" s="934">
        <f t="shared" si="16"/>
        <v>0</v>
      </c>
      <c r="Q69" s="934">
        <f t="shared" si="17"/>
        <v>0</v>
      </c>
      <c r="R69" s="934">
        <f t="shared" si="18"/>
        <v>0</v>
      </c>
      <c r="S69" s="934">
        <f t="shared" si="19"/>
        <v>0</v>
      </c>
      <c r="T69" s="1007">
        <f t="shared" si="20"/>
        <v>0</v>
      </c>
      <c r="U69" s="1006"/>
      <c r="V69" s="906">
        <f t="shared" si="21"/>
        <v>0</v>
      </c>
      <c r="W69" s="543"/>
      <c r="X69" s="486"/>
      <c r="Y69" s="486"/>
    </row>
    <row r="70" spans="1:25" ht="26.7" customHeight="1" x14ac:dyDescent="0.25">
      <c r="A70" s="14"/>
      <c r="B70" s="14" t="s">
        <v>74</v>
      </c>
      <c r="C70" s="123"/>
      <c r="D70" s="78"/>
      <c r="E70" s="78"/>
      <c r="F70" s="78"/>
      <c r="G70" s="78"/>
      <c r="H70" s="78"/>
      <c r="I70" s="78"/>
      <c r="J70" s="78"/>
      <c r="K70" s="1032"/>
      <c r="L70" s="958">
        <f t="shared" si="13"/>
        <v>0</v>
      </c>
      <c r="M70" s="958">
        <f t="shared" si="14"/>
        <v>0</v>
      </c>
      <c r="N70" s="958">
        <f t="shared" si="15"/>
        <v>0</v>
      </c>
      <c r="O70" s="1032"/>
      <c r="P70" s="934">
        <f t="shared" si="16"/>
        <v>0</v>
      </c>
      <c r="Q70" s="934">
        <f t="shared" si="17"/>
        <v>0</v>
      </c>
      <c r="R70" s="934">
        <f t="shared" si="18"/>
        <v>0</v>
      </c>
      <c r="S70" s="934">
        <f t="shared" si="19"/>
        <v>0</v>
      </c>
      <c r="T70" s="1007">
        <f t="shared" si="20"/>
        <v>0</v>
      </c>
      <c r="U70" s="1006"/>
      <c r="V70" s="906">
        <f t="shared" si="21"/>
        <v>0</v>
      </c>
      <c r="W70" s="543"/>
      <c r="X70" s="486"/>
      <c r="Y70" s="486"/>
    </row>
    <row r="71" spans="1:25" x14ac:dyDescent="0.25">
      <c r="A71" s="14" t="s">
        <v>75</v>
      </c>
      <c r="B71" s="14" t="s">
        <v>76</v>
      </c>
      <c r="C71" s="1037">
        <f>SUM(C72:C81)</f>
        <v>1866000</v>
      </c>
      <c r="D71" s="1037">
        <f t="shared" ref="D71:J71" si="28">SUM(D72:D81)</f>
        <v>1887000</v>
      </c>
      <c r="E71" s="1037">
        <f t="shared" si="28"/>
        <v>2037000</v>
      </c>
      <c r="F71" s="1037">
        <f t="shared" si="28"/>
        <v>2037000</v>
      </c>
      <c r="G71" s="1037"/>
      <c r="H71" s="1037">
        <f t="shared" si="28"/>
        <v>925509</v>
      </c>
      <c r="I71" s="1037">
        <f t="shared" si="28"/>
        <v>1426704</v>
      </c>
      <c r="J71" s="1037">
        <f t="shared" si="28"/>
        <v>1716672</v>
      </c>
      <c r="K71" s="1032"/>
      <c r="L71" s="958">
        <f t="shared" si="13"/>
        <v>0.49598553054662381</v>
      </c>
      <c r="M71" s="958">
        <f t="shared" si="14"/>
        <v>0.75606995230524643</v>
      </c>
      <c r="N71" s="958">
        <f t="shared" si="15"/>
        <v>0.84274521354933729</v>
      </c>
      <c r="O71" s="1032"/>
      <c r="P71" s="934">
        <f t="shared" si="16"/>
        <v>21000</v>
      </c>
      <c r="Q71" s="934">
        <f t="shared" si="17"/>
        <v>150000</v>
      </c>
      <c r="R71" s="934">
        <f t="shared" si="18"/>
        <v>0</v>
      </c>
      <c r="S71" s="934">
        <f t="shared" si="19"/>
        <v>171000</v>
      </c>
      <c r="T71" s="1007">
        <f t="shared" si="20"/>
        <v>9.1639871382636656E-2</v>
      </c>
      <c r="U71" s="1006"/>
      <c r="V71" s="906">
        <f t="shared" si="21"/>
        <v>0</v>
      </c>
      <c r="W71" s="543"/>
      <c r="X71" s="486"/>
      <c r="Y71" s="486"/>
    </row>
    <row r="72" spans="1:25" x14ac:dyDescent="0.25">
      <c r="A72" s="14" t="s">
        <v>77</v>
      </c>
      <c r="B72" s="14" t="s">
        <v>78</v>
      </c>
      <c r="C72" s="123">
        <v>1400000</v>
      </c>
      <c r="D72" s="1040">
        <v>1400000</v>
      </c>
      <c r="E72" s="78">
        <v>1400000</v>
      </c>
      <c r="F72" s="78">
        <v>1400000</v>
      </c>
      <c r="G72" s="78"/>
      <c r="H72" s="78">
        <v>604837</v>
      </c>
      <c r="I72" s="78">
        <v>865312</v>
      </c>
      <c r="J72" s="78">
        <v>1150854</v>
      </c>
      <c r="K72" s="1032"/>
      <c r="L72" s="958">
        <f t="shared" si="13"/>
        <v>0.43202642857142859</v>
      </c>
      <c r="M72" s="958">
        <f t="shared" si="14"/>
        <v>0.61807999999999996</v>
      </c>
      <c r="N72" s="958">
        <f t="shared" si="15"/>
        <v>0.8220385714285714</v>
      </c>
      <c r="O72" s="1032"/>
      <c r="P72" s="934">
        <f t="shared" si="16"/>
        <v>0</v>
      </c>
      <c r="Q72" s="934">
        <f t="shared" si="17"/>
        <v>0</v>
      </c>
      <c r="R72" s="934">
        <f t="shared" si="18"/>
        <v>0</v>
      </c>
      <c r="S72" s="934">
        <f t="shared" si="19"/>
        <v>0</v>
      </c>
      <c r="T72" s="1007">
        <f t="shared" si="20"/>
        <v>0</v>
      </c>
      <c r="U72" s="1006"/>
      <c r="V72" s="906">
        <f t="shared" si="21"/>
        <v>0</v>
      </c>
      <c r="W72" s="543"/>
      <c r="X72" s="486"/>
      <c r="Y72" s="486"/>
    </row>
    <row r="73" spans="1:25" x14ac:dyDescent="0.25">
      <c r="A73" s="14"/>
      <c r="B73" s="14" t="s">
        <v>79</v>
      </c>
      <c r="C73" s="123"/>
      <c r="D73" s="78"/>
      <c r="E73" s="78"/>
      <c r="F73" s="78"/>
      <c r="G73" s="78"/>
      <c r="H73" s="78"/>
      <c r="I73" s="78"/>
      <c r="J73" s="78"/>
      <c r="K73" s="1032"/>
      <c r="L73" s="958">
        <f t="shared" si="13"/>
        <v>0</v>
      </c>
      <c r="M73" s="958">
        <f t="shared" si="14"/>
        <v>0</v>
      </c>
      <c r="N73" s="958">
        <f t="shared" si="15"/>
        <v>0</v>
      </c>
      <c r="O73" s="1032"/>
      <c r="P73" s="934">
        <f t="shared" si="16"/>
        <v>0</v>
      </c>
      <c r="Q73" s="934">
        <f t="shared" si="17"/>
        <v>0</v>
      </c>
      <c r="R73" s="934">
        <f t="shared" si="18"/>
        <v>0</v>
      </c>
      <c r="S73" s="934">
        <f t="shared" si="19"/>
        <v>0</v>
      </c>
      <c r="T73" s="1007">
        <f t="shared" si="20"/>
        <v>0</v>
      </c>
      <c r="U73" s="1006"/>
      <c r="V73" s="906">
        <f t="shared" si="21"/>
        <v>0</v>
      </c>
      <c r="W73" s="543"/>
      <c r="X73" s="486"/>
      <c r="Y73" s="486"/>
    </row>
    <row r="74" spans="1:25" x14ac:dyDescent="0.25">
      <c r="A74" s="14" t="s">
        <v>80</v>
      </c>
      <c r="B74" s="14" t="s">
        <v>81</v>
      </c>
      <c r="C74" s="123">
        <v>0</v>
      </c>
      <c r="D74" s="78">
        <v>21000</v>
      </c>
      <c r="E74" s="78">
        <v>21000</v>
      </c>
      <c r="F74" s="78">
        <v>21000</v>
      </c>
      <c r="G74" s="78"/>
      <c r="H74" s="78">
        <v>0</v>
      </c>
      <c r="I74" s="78">
        <v>0</v>
      </c>
      <c r="J74" s="78">
        <v>0</v>
      </c>
      <c r="K74" s="1032"/>
      <c r="L74" s="958">
        <f t="shared" si="13"/>
        <v>0</v>
      </c>
      <c r="M74" s="958">
        <f t="shared" si="14"/>
        <v>0</v>
      </c>
      <c r="N74" s="958">
        <f t="shared" si="15"/>
        <v>0</v>
      </c>
      <c r="O74" s="1032"/>
      <c r="P74" s="934">
        <f t="shared" si="16"/>
        <v>21000</v>
      </c>
      <c r="Q74" s="934">
        <f t="shared" si="17"/>
        <v>0</v>
      </c>
      <c r="R74" s="934">
        <f t="shared" si="18"/>
        <v>0</v>
      </c>
      <c r="S74" s="934">
        <f t="shared" si="19"/>
        <v>21000</v>
      </c>
      <c r="T74" s="1007">
        <f t="shared" si="20"/>
        <v>0</v>
      </c>
      <c r="U74" s="1006"/>
      <c r="V74" s="906">
        <f t="shared" si="21"/>
        <v>0</v>
      </c>
      <c r="W74" s="543"/>
      <c r="X74" s="486"/>
      <c r="Y74" s="486"/>
    </row>
    <row r="75" spans="1:25" ht="26.4" x14ac:dyDescent="0.25">
      <c r="A75" s="14"/>
      <c r="B75" s="14" t="s">
        <v>102</v>
      </c>
      <c r="C75" s="123"/>
      <c r="D75" s="78"/>
      <c r="E75" s="78"/>
      <c r="F75" s="78"/>
      <c r="G75" s="78"/>
      <c r="H75" s="78"/>
      <c r="I75" s="78"/>
      <c r="J75" s="78"/>
      <c r="K75" s="1032"/>
      <c r="L75" s="958">
        <f t="shared" si="13"/>
        <v>0</v>
      </c>
      <c r="M75" s="958">
        <f t="shared" si="14"/>
        <v>0</v>
      </c>
      <c r="N75" s="958">
        <f t="shared" si="15"/>
        <v>0</v>
      </c>
      <c r="O75" s="1032"/>
      <c r="P75" s="934">
        <f t="shared" si="16"/>
        <v>0</v>
      </c>
      <c r="Q75" s="934">
        <f t="shared" si="17"/>
        <v>0</v>
      </c>
      <c r="R75" s="934">
        <f t="shared" si="18"/>
        <v>0</v>
      </c>
      <c r="S75" s="934">
        <f t="shared" si="19"/>
        <v>0</v>
      </c>
      <c r="T75" s="1007">
        <f t="shared" si="20"/>
        <v>0</v>
      </c>
      <c r="U75" s="1006"/>
      <c r="V75" s="906">
        <f t="shared" si="21"/>
        <v>0</v>
      </c>
      <c r="W75" s="543"/>
      <c r="X75" s="486"/>
      <c r="Y75" s="486"/>
    </row>
    <row r="76" spans="1:25" x14ac:dyDescent="0.25">
      <c r="A76" s="14" t="s">
        <v>82</v>
      </c>
      <c r="B76" s="14" t="s">
        <v>83</v>
      </c>
      <c r="C76" s="123"/>
      <c r="D76" s="78"/>
      <c r="E76" s="78"/>
      <c r="F76" s="78"/>
      <c r="G76" s="78"/>
      <c r="H76" s="78"/>
      <c r="I76" s="78"/>
      <c r="J76" s="78"/>
      <c r="K76" s="1032"/>
      <c r="L76" s="958">
        <f t="shared" si="13"/>
        <v>0</v>
      </c>
      <c r="M76" s="958">
        <f t="shared" si="14"/>
        <v>0</v>
      </c>
      <c r="N76" s="958">
        <f t="shared" si="15"/>
        <v>0</v>
      </c>
      <c r="O76" s="1032"/>
      <c r="P76" s="934">
        <f t="shared" si="16"/>
        <v>0</v>
      </c>
      <c r="Q76" s="934">
        <f t="shared" si="17"/>
        <v>0</v>
      </c>
      <c r="R76" s="934">
        <f t="shared" si="18"/>
        <v>0</v>
      </c>
      <c r="S76" s="934">
        <f t="shared" si="19"/>
        <v>0</v>
      </c>
      <c r="T76" s="1007">
        <f t="shared" si="20"/>
        <v>0</v>
      </c>
      <c r="U76" s="1006"/>
      <c r="V76" s="906">
        <f t="shared" si="21"/>
        <v>0</v>
      </c>
      <c r="W76" s="543"/>
      <c r="X76" s="486"/>
      <c r="Y76" s="486"/>
    </row>
    <row r="77" spans="1:25" ht="26.4" x14ac:dyDescent="0.25">
      <c r="A77" s="14"/>
      <c r="B77" s="14" t="s">
        <v>107</v>
      </c>
      <c r="C77" s="123"/>
      <c r="D77" s="78"/>
      <c r="E77" s="78"/>
      <c r="F77" s="78"/>
      <c r="G77" s="78"/>
      <c r="H77" s="78"/>
      <c r="I77" s="78"/>
      <c r="J77" s="78"/>
      <c r="K77" s="1032"/>
      <c r="L77" s="958">
        <f t="shared" ref="L77:L102" si="29">IF(C77=0,0,H77/C77)</f>
        <v>0</v>
      </c>
      <c r="M77" s="958">
        <f t="shared" ref="M77:M102" si="30">IF(D77=0,0,I77/D77)</f>
        <v>0</v>
      </c>
      <c r="N77" s="958">
        <f t="shared" ref="N77:N102" si="31">IF(E77=0,0,J77/E77)</f>
        <v>0</v>
      </c>
      <c r="O77" s="1032"/>
      <c r="P77" s="934">
        <f t="shared" ref="P77:P80" si="32">+(D77-C77)*P$10</f>
        <v>0</v>
      </c>
      <c r="Q77" s="934">
        <f t="shared" ref="Q77:Q80" si="33">+(E77-D77)*Q$10</f>
        <v>0</v>
      </c>
      <c r="R77" s="934">
        <f t="shared" ref="R77:R80" si="34">+(F77-E77)*R$10</f>
        <v>0</v>
      </c>
      <c r="S77" s="934">
        <f t="shared" ref="S77:S80" si="35">SUM(P77:R77)</f>
        <v>0</v>
      </c>
      <c r="T77" s="1007">
        <f t="shared" ref="T77:T99" si="36">IF(C77=0,0,+S77/C77)</f>
        <v>0</v>
      </c>
      <c r="U77" s="1006"/>
      <c r="V77" s="906">
        <f t="shared" ref="V77:V102" si="37">+S77-F77+C77</f>
        <v>0</v>
      </c>
      <c r="W77" s="543"/>
      <c r="X77" s="486"/>
      <c r="Y77" s="486"/>
    </row>
    <row r="78" spans="1:25" x14ac:dyDescent="0.25">
      <c r="A78" s="14" t="s">
        <v>85</v>
      </c>
      <c r="B78" s="14" t="s">
        <v>86</v>
      </c>
      <c r="C78" s="123"/>
      <c r="D78" s="78"/>
      <c r="E78" s="78"/>
      <c r="F78" s="78"/>
      <c r="G78" s="78"/>
      <c r="H78" s="78"/>
      <c r="I78" s="78"/>
      <c r="J78" s="78"/>
      <c r="K78" s="1032"/>
      <c r="L78" s="958">
        <f t="shared" si="29"/>
        <v>0</v>
      </c>
      <c r="M78" s="958">
        <f t="shared" si="30"/>
        <v>0</v>
      </c>
      <c r="N78" s="958">
        <f t="shared" si="31"/>
        <v>0</v>
      </c>
      <c r="O78" s="1032"/>
      <c r="P78" s="934">
        <f t="shared" si="32"/>
        <v>0</v>
      </c>
      <c r="Q78" s="934">
        <f t="shared" si="33"/>
        <v>0</v>
      </c>
      <c r="R78" s="934">
        <f t="shared" si="34"/>
        <v>0</v>
      </c>
      <c r="S78" s="934">
        <f t="shared" si="35"/>
        <v>0</v>
      </c>
      <c r="T78" s="1007">
        <f t="shared" si="36"/>
        <v>0</v>
      </c>
      <c r="U78" s="1006"/>
      <c r="V78" s="906">
        <f t="shared" si="37"/>
        <v>0</v>
      </c>
      <c r="W78" s="543"/>
      <c r="X78" s="486"/>
      <c r="Y78" s="486"/>
    </row>
    <row r="79" spans="1:25" x14ac:dyDescent="0.25">
      <c r="A79" s="14"/>
      <c r="B79" s="14" t="s">
        <v>87</v>
      </c>
      <c r="C79" s="123"/>
      <c r="D79" s="78"/>
      <c r="E79" s="78"/>
      <c r="F79" s="78"/>
      <c r="G79" s="78"/>
      <c r="H79" s="78"/>
      <c r="I79" s="78"/>
      <c r="J79" s="78"/>
      <c r="K79" s="1032"/>
      <c r="L79" s="958">
        <f t="shared" si="29"/>
        <v>0</v>
      </c>
      <c r="M79" s="958">
        <f t="shared" si="30"/>
        <v>0</v>
      </c>
      <c r="N79" s="958">
        <f t="shared" si="31"/>
        <v>0</v>
      </c>
      <c r="O79" s="1032"/>
      <c r="P79" s="934">
        <f t="shared" si="32"/>
        <v>0</v>
      </c>
      <c r="Q79" s="934">
        <f t="shared" si="33"/>
        <v>0</v>
      </c>
      <c r="R79" s="934">
        <f t="shared" si="34"/>
        <v>0</v>
      </c>
      <c r="S79" s="934">
        <f t="shared" si="35"/>
        <v>0</v>
      </c>
      <c r="T79" s="1007">
        <f t="shared" si="36"/>
        <v>0</v>
      </c>
      <c r="U79" s="1006"/>
      <c r="V79" s="906">
        <f t="shared" si="37"/>
        <v>0</v>
      </c>
      <c r="W79" s="543"/>
      <c r="X79" s="486"/>
      <c r="Y79" s="486"/>
    </row>
    <row r="80" spans="1:25" x14ac:dyDescent="0.25">
      <c r="A80" s="14" t="s">
        <v>88</v>
      </c>
      <c r="B80" s="14" t="s">
        <v>89</v>
      </c>
      <c r="C80" s="123">
        <v>466000</v>
      </c>
      <c r="D80" s="78">
        <v>466000</v>
      </c>
      <c r="E80" s="78">
        <v>616000</v>
      </c>
      <c r="F80" s="78">
        <v>616000</v>
      </c>
      <c r="G80" s="78"/>
      <c r="H80" s="78">
        <v>320672</v>
      </c>
      <c r="I80" s="78">
        <v>561392</v>
      </c>
      <c r="J80" s="78">
        <v>565818</v>
      </c>
      <c r="K80" s="1032"/>
      <c r="L80" s="958">
        <f t="shared" si="29"/>
        <v>0.688137339055794</v>
      </c>
      <c r="M80" s="958">
        <f t="shared" si="30"/>
        <v>1.2047038626609443</v>
      </c>
      <c r="N80" s="958">
        <f t="shared" si="31"/>
        <v>0.91853571428571423</v>
      </c>
      <c r="O80" s="1032"/>
      <c r="P80" s="934">
        <f t="shared" si="32"/>
        <v>0</v>
      </c>
      <c r="Q80" s="934">
        <f t="shared" si="33"/>
        <v>150000</v>
      </c>
      <c r="R80" s="934">
        <f t="shared" si="34"/>
        <v>0</v>
      </c>
      <c r="S80" s="934">
        <f t="shared" si="35"/>
        <v>150000</v>
      </c>
      <c r="T80" s="1007">
        <f t="shared" si="36"/>
        <v>0.32188841201716739</v>
      </c>
      <c r="U80" s="1006"/>
      <c r="V80" s="906">
        <f t="shared" si="37"/>
        <v>0</v>
      </c>
      <c r="W80" s="543"/>
      <c r="X80" s="486"/>
      <c r="Y80" s="486"/>
    </row>
    <row r="81" spans="1:25" ht="54.6" customHeight="1" x14ac:dyDescent="0.25">
      <c r="A81" s="14"/>
      <c r="B81" s="14" t="s">
        <v>93</v>
      </c>
      <c r="C81" s="123"/>
      <c r="D81" s="78"/>
      <c r="E81" s="78"/>
      <c r="F81" s="78"/>
      <c r="G81" s="78"/>
      <c r="H81" s="78"/>
      <c r="I81" s="78"/>
      <c r="J81" s="78"/>
      <c r="K81" s="1032"/>
      <c r="L81" s="958">
        <f t="shared" si="29"/>
        <v>0</v>
      </c>
      <c r="M81" s="958">
        <f t="shared" si="30"/>
        <v>0</v>
      </c>
      <c r="N81" s="958">
        <f t="shared" si="31"/>
        <v>0</v>
      </c>
      <c r="O81" s="1032"/>
      <c r="P81" s="934">
        <f>+(D81-C81)*P$10</f>
        <v>0</v>
      </c>
      <c r="Q81" s="934">
        <f>+(E81-D81)*Q$10</f>
        <v>0</v>
      </c>
      <c r="R81" s="934">
        <f>+(F81-E81)*R$10</f>
        <v>0</v>
      </c>
      <c r="S81" s="934">
        <f t="shared" ref="S81:S82" si="38">SUM(P81:R81)</f>
        <v>0</v>
      </c>
      <c r="T81" s="1007">
        <f t="shared" si="36"/>
        <v>0</v>
      </c>
      <c r="U81" s="1006"/>
      <c r="V81" s="906">
        <f t="shared" si="37"/>
        <v>0</v>
      </c>
      <c r="W81" s="543"/>
      <c r="X81" s="486"/>
      <c r="Y81" s="486"/>
    </row>
    <row r="82" spans="1:25" x14ac:dyDescent="0.25">
      <c r="A82" s="14"/>
      <c r="B82" s="14"/>
      <c r="C82" s="122"/>
      <c r="D82" s="78"/>
      <c r="E82" s="78"/>
      <c r="F82" s="78"/>
      <c r="G82" s="78"/>
      <c r="H82" s="78"/>
      <c r="I82" s="78"/>
      <c r="J82" s="78"/>
      <c r="K82" s="1032"/>
      <c r="L82" s="958">
        <f t="shared" si="29"/>
        <v>0</v>
      </c>
      <c r="M82" s="958">
        <f t="shared" si="30"/>
        <v>0</v>
      </c>
      <c r="N82" s="958">
        <f t="shared" si="31"/>
        <v>0</v>
      </c>
      <c r="O82" s="1032"/>
      <c r="P82" s="934">
        <f t="shared" ref="P82" si="39">+(D82-C82)*P$10</f>
        <v>0</v>
      </c>
      <c r="Q82" s="934">
        <f t="shared" ref="Q82" si="40">+(E82-D82)*Q$10</f>
        <v>0</v>
      </c>
      <c r="R82" s="934">
        <f t="shared" ref="R82" si="41">+(F82-E82)*R$10</f>
        <v>0</v>
      </c>
      <c r="S82" s="934">
        <f t="shared" si="38"/>
        <v>0</v>
      </c>
      <c r="T82" s="1007">
        <f t="shared" si="36"/>
        <v>0</v>
      </c>
      <c r="U82" s="1006"/>
      <c r="V82" s="906">
        <f t="shared" si="37"/>
        <v>0</v>
      </c>
      <c r="W82" s="543"/>
      <c r="X82" s="486"/>
      <c r="Y82" s="486"/>
    </row>
    <row r="83" spans="1:25" s="26" customFormat="1" x14ac:dyDescent="0.25">
      <c r="A83" s="3" t="s">
        <v>159</v>
      </c>
      <c r="B83" s="3" t="s">
        <v>160</v>
      </c>
      <c r="C83" s="1041">
        <f>SUM(C84)</f>
        <v>1000000</v>
      </c>
      <c r="D83" s="949">
        <f>SUM(D84)</f>
        <v>1000000</v>
      </c>
      <c r="E83" s="949">
        <f>SUM(E84)</f>
        <v>1410000</v>
      </c>
      <c r="F83" s="949">
        <f>SUM(F84)</f>
        <v>1245000</v>
      </c>
      <c r="G83" s="949"/>
      <c r="H83" s="949">
        <f>SUM(H84)</f>
        <v>554835</v>
      </c>
      <c r="I83" s="949">
        <f>+I84</f>
        <v>554835</v>
      </c>
      <c r="J83" s="949">
        <f>+J84</f>
        <v>654195</v>
      </c>
      <c r="K83" s="1042"/>
      <c r="L83" s="1043">
        <f t="shared" si="29"/>
        <v>0.55483499999999997</v>
      </c>
      <c r="M83" s="1043">
        <f t="shared" si="30"/>
        <v>0.55483499999999997</v>
      </c>
      <c r="N83" s="1043">
        <f t="shared" si="31"/>
        <v>0.46396808510638299</v>
      </c>
      <c r="O83" s="1042"/>
      <c r="P83" s="1044">
        <f t="shared" ref="P83:P85" si="42">+(D83-C83)*P$10</f>
        <v>0</v>
      </c>
      <c r="Q83" s="1044">
        <f t="shared" ref="Q83:Q85" si="43">+(E83-D83)*Q$10</f>
        <v>410000</v>
      </c>
      <c r="R83" s="1044">
        <f t="shared" ref="R83:R85" si="44">+(F83-E83)*R$10</f>
        <v>-165000</v>
      </c>
      <c r="S83" s="1044">
        <f t="shared" ref="S83:S85" si="45">SUM(P83:R83)</f>
        <v>245000</v>
      </c>
      <c r="T83" s="1005">
        <f t="shared" ref="T83:T85" si="46">IF(C83=0,0,+S83/C83)</f>
        <v>0.245</v>
      </c>
      <c r="U83" s="1006"/>
      <c r="V83" s="906">
        <f t="shared" si="37"/>
        <v>0</v>
      </c>
      <c r="W83" s="1018"/>
      <c r="X83" s="1008"/>
      <c r="Y83" s="1008"/>
    </row>
    <row r="84" spans="1:25" x14ac:dyDescent="0.25">
      <c r="A84" s="157"/>
      <c r="B84" s="157" t="s">
        <v>473</v>
      </c>
      <c r="C84" s="122">
        <v>1000000</v>
      </c>
      <c r="D84" s="78">
        <v>1000000</v>
      </c>
      <c r="E84" s="78">
        <v>1410000</v>
      </c>
      <c r="F84" s="78">
        <v>1245000</v>
      </c>
      <c r="G84" s="78"/>
      <c r="H84" s="78">
        <v>554835</v>
      </c>
      <c r="I84" s="1040">
        <v>554835</v>
      </c>
      <c r="J84" s="78">
        <v>654195</v>
      </c>
      <c r="K84" s="1032"/>
      <c r="L84" s="958">
        <f t="shared" si="29"/>
        <v>0.55483499999999997</v>
      </c>
      <c r="M84" s="958">
        <f t="shared" si="30"/>
        <v>0.55483499999999997</v>
      </c>
      <c r="N84" s="958">
        <f t="shared" si="31"/>
        <v>0.46396808510638299</v>
      </c>
      <c r="O84" s="1032"/>
      <c r="P84" s="934">
        <f t="shared" si="42"/>
        <v>0</v>
      </c>
      <c r="Q84" s="934">
        <f t="shared" si="43"/>
        <v>410000</v>
      </c>
      <c r="R84" s="934">
        <f t="shared" si="44"/>
        <v>-165000</v>
      </c>
      <c r="S84" s="934">
        <f t="shared" si="45"/>
        <v>245000</v>
      </c>
      <c r="T84" s="1007">
        <f t="shared" si="46"/>
        <v>0.245</v>
      </c>
      <c r="U84" s="1006"/>
      <c r="V84" s="906">
        <f t="shared" si="37"/>
        <v>0</v>
      </c>
      <c r="W84" s="543"/>
      <c r="X84" s="486"/>
      <c r="Y84" s="486"/>
    </row>
    <row r="85" spans="1:25" x14ac:dyDescent="0.25">
      <c r="A85" s="14"/>
      <c r="B85" s="14"/>
      <c r="C85" s="122"/>
      <c r="D85" s="78"/>
      <c r="E85" s="78"/>
      <c r="F85" s="78"/>
      <c r="G85" s="78"/>
      <c r="H85" s="78"/>
      <c r="I85" s="78"/>
      <c r="J85" s="78"/>
      <c r="K85" s="1032"/>
      <c r="L85" s="958">
        <f t="shared" si="29"/>
        <v>0</v>
      </c>
      <c r="M85" s="958">
        <f t="shared" si="30"/>
        <v>0</v>
      </c>
      <c r="N85" s="958">
        <f t="shared" si="31"/>
        <v>0</v>
      </c>
      <c r="O85" s="1032"/>
      <c r="P85" s="934">
        <f t="shared" si="42"/>
        <v>0</v>
      </c>
      <c r="Q85" s="934">
        <f t="shared" si="43"/>
        <v>0</v>
      </c>
      <c r="R85" s="934">
        <f t="shared" si="44"/>
        <v>0</v>
      </c>
      <c r="S85" s="934">
        <f t="shared" si="45"/>
        <v>0</v>
      </c>
      <c r="T85" s="1007">
        <f t="shared" si="46"/>
        <v>0</v>
      </c>
      <c r="U85" s="1006"/>
      <c r="V85" s="906">
        <f t="shared" si="37"/>
        <v>0</v>
      </c>
      <c r="W85" s="543"/>
      <c r="X85" s="486"/>
      <c r="Y85" s="486"/>
    </row>
    <row r="86" spans="1:25" s="26" customFormat="1" x14ac:dyDescent="0.25">
      <c r="A86" s="3" t="s">
        <v>174</v>
      </c>
      <c r="B86" s="3" t="s">
        <v>175</v>
      </c>
      <c r="C86" s="1041">
        <f>SUM(C87)</f>
        <v>0</v>
      </c>
      <c r="D86" s="949">
        <f>SUM(D87)</f>
        <v>0</v>
      </c>
      <c r="E86" s="949">
        <f>SUM(E87)</f>
        <v>0</v>
      </c>
      <c r="F86" s="949">
        <f>SUM(F87)</f>
        <v>0</v>
      </c>
      <c r="G86" s="949"/>
      <c r="H86" s="949">
        <f>SUM(H87)</f>
        <v>0</v>
      </c>
      <c r="I86" s="949">
        <f>+I87</f>
        <v>0</v>
      </c>
      <c r="J86" s="949">
        <f>+J87</f>
        <v>0</v>
      </c>
      <c r="K86" s="1042"/>
      <c r="L86" s="1043">
        <f t="shared" si="29"/>
        <v>0</v>
      </c>
      <c r="M86" s="1043">
        <f t="shared" si="30"/>
        <v>0</v>
      </c>
      <c r="N86" s="1043">
        <f t="shared" si="31"/>
        <v>0</v>
      </c>
      <c r="O86" s="1042"/>
      <c r="P86" s="1044">
        <f t="shared" ref="P86:P88" si="47">+(D86-C86)*P$10</f>
        <v>0</v>
      </c>
      <c r="Q86" s="1044">
        <f t="shared" ref="Q86:Q88" si="48">+(E86-D86)*Q$10</f>
        <v>0</v>
      </c>
      <c r="R86" s="1044">
        <f t="shared" ref="R86:R88" si="49">+(F86-E86)*R$10</f>
        <v>0</v>
      </c>
      <c r="S86" s="1044">
        <f t="shared" ref="S86:S88" si="50">SUM(P86:R86)</f>
        <v>0</v>
      </c>
      <c r="T86" s="1005">
        <f t="shared" ref="T86:T88" si="51">IF(C86=0,0,+S86/C86)</f>
        <v>0</v>
      </c>
      <c r="U86" s="1006"/>
      <c r="V86" s="906">
        <f t="shared" si="37"/>
        <v>0</v>
      </c>
      <c r="W86" s="1018"/>
      <c r="X86" s="1008"/>
      <c r="Y86" s="1008"/>
    </row>
    <row r="87" spans="1:25" x14ac:dyDescent="0.25">
      <c r="A87" s="157"/>
      <c r="B87" s="157"/>
      <c r="C87" s="122"/>
      <c r="D87" s="78"/>
      <c r="E87" s="78"/>
      <c r="F87" s="78"/>
      <c r="G87" s="78"/>
      <c r="H87" s="78"/>
      <c r="I87" s="1040"/>
      <c r="J87" s="78"/>
      <c r="K87" s="1032"/>
      <c r="L87" s="958">
        <f t="shared" si="29"/>
        <v>0</v>
      </c>
      <c r="M87" s="958">
        <f t="shared" si="30"/>
        <v>0</v>
      </c>
      <c r="N87" s="958">
        <f t="shared" si="31"/>
        <v>0</v>
      </c>
      <c r="O87" s="1032"/>
      <c r="P87" s="934">
        <f t="shared" si="47"/>
        <v>0</v>
      </c>
      <c r="Q87" s="934">
        <f t="shared" si="48"/>
        <v>0</v>
      </c>
      <c r="R87" s="934">
        <f t="shared" si="49"/>
        <v>0</v>
      </c>
      <c r="S87" s="934">
        <f t="shared" si="50"/>
        <v>0</v>
      </c>
      <c r="T87" s="1007">
        <f t="shared" si="51"/>
        <v>0</v>
      </c>
      <c r="U87" s="1006"/>
      <c r="V87" s="906">
        <f t="shared" si="37"/>
        <v>0</v>
      </c>
      <c r="W87" s="543"/>
      <c r="X87" s="486"/>
      <c r="Y87" s="486"/>
    </row>
    <row r="88" spans="1:25" hidden="1" x14ac:dyDescent="0.25">
      <c r="A88" s="14"/>
      <c r="B88" s="14"/>
      <c r="C88" s="122"/>
      <c r="D88" s="78"/>
      <c r="E88" s="78"/>
      <c r="F88" s="78"/>
      <c r="G88" s="78"/>
      <c r="H88" s="78"/>
      <c r="I88" s="78"/>
      <c r="J88" s="78"/>
      <c r="K88" s="1032"/>
      <c r="L88" s="958">
        <f t="shared" si="29"/>
        <v>0</v>
      </c>
      <c r="M88" s="958">
        <f t="shared" si="30"/>
        <v>0</v>
      </c>
      <c r="N88" s="958">
        <f t="shared" si="31"/>
        <v>0</v>
      </c>
      <c r="O88" s="1032"/>
      <c r="P88" s="934">
        <f t="shared" si="47"/>
        <v>0</v>
      </c>
      <c r="Q88" s="934">
        <f t="shared" si="48"/>
        <v>0</v>
      </c>
      <c r="R88" s="934">
        <f t="shared" si="49"/>
        <v>0</v>
      </c>
      <c r="S88" s="934">
        <f t="shared" si="50"/>
        <v>0</v>
      </c>
      <c r="T88" s="1007">
        <f t="shared" si="51"/>
        <v>0</v>
      </c>
      <c r="U88" s="1006"/>
      <c r="V88" s="906">
        <f t="shared" si="37"/>
        <v>0</v>
      </c>
      <c r="W88" s="543"/>
      <c r="X88" s="486"/>
      <c r="Y88" s="486"/>
    </row>
    <row r="89" spans="1:25" ht="18" customHeight="1" x14ac:dyDescent="0.25">
      <c r="A89" s="5"/>
      <c r="B89" s="1045" t="s">
        <v>380</v>
      </c>
      <c r="C89" s="1046">
        <f>C13+C29+C32+C83+C86</f>
        <v>127380900</v>
      </c>
      <c r="D89" s="1046">
        <f>D13+D29+D32+D83+D86</f>
        <v>128322500</v>
      </c>
      <c r="E89" s="1046">
        <f>E13+E29+E32+E83+E86</f>
        <v>128322500</v>
      </c>
      <c r="F89" s="1046">
        <f>F13+F29+F32+F83+F86</f>
        <v>127660702</v>
      </c>
      <c r="G89" s="1046"/>
      <c r="H89" s="1046">
        <f>H13+H29+H32+H83+H86</f>
        <v>61422889</v>
      </c>
      <c r="I89" s="1046">
        <f>I13+I29+I32+I83+I86</f>
        <v>91935433</v>
      </c>
      <c r="J89" s="1046">
        <f>J13+J29+J32+J83+J86</f>
        <v>124836820</v>
      </c>
      <c r="K89" s="1047"/>
      <c r="L89" s="950">
        <f t="shared" si="29"/>
        <v>0.48219857922184567</v>
      </c>
      <c r="M89" s="950">
        <f t="shared" si="30"/>
        <v>0.71644047614409012</v>
      </c>
      <c r="N89" s="950">
        <f t="shared" si="31"/>
        <v>0.97283656412554309</v>
      </c>
      <c r="O89" s="1047"/>
      <c r="P89" s="1046">
        <f>+(D89-C89)*P$10</f>
        <v>941600</v>
      </c>
      <c r="Q89" s="1046">
        <f>+(E89-D89)*Q$10</f>
        <v>0</v>
      </c>
      <c r="R89" s="1046">
        <f>+(F89-E89)*R$10</f>
        <v>-661798</v>
      </c>
      <c r="S89" s="1046">
        <f t="shared" ref="S89:S102" si="52">SUM(P89:R89)</f>
        <v>279802</v>
      </c>
      <c r="T89" s="1005">
        <f t="shared" si="36"/>
        <v>2.1965773518635837E-3</v>
      </c>
      <c r="U89" s="1006"/>
      <c r="V89" s="906">
        <f t="shared" si="37"/>
        <v>0</v>
      </c>
      <c r="W89" s="543"/>
      <c r="X89" s="486"/>
      <c r="Y89" s="486"/>
    </row>
    <row r="90" spans="1:25" ht="10.35" customHeight="1" x14ac:dyDescent="0.25">
      <c r="B90" s="17"/>
      <c r="C90" s="113"/>
      <c r="D90" s="114"/>
      <c r="E90" s="114"/>
      <c r="F90" s="114"/>
      <c r="G90" s="114"/>
      <c r="H90" s="114"/>
      <c r="I90" s="114"/>
      <c r="J90" s="114"/>
      <c r="K90" s="114"/>
      <c r="L90" s="550">
        <f t="shared" si="29"/>
        <v>0</v>
      </c>
      <c r="M90" s="550">
        <f t="shared" si="30"/>
        <v>0</v>
      </c>
      <c r="N90" s="550">
        <f t="shared" si="31"/>
        <v>0</v>
      </c>
      <c r="O90" s="114"/>
      <c r="P90" s="114"/>
      <c r="Q90" s="114"/>
      <c r="R90" s="114"/>
      <c r="S90" s="114"/>
      <c r="T90" s="550"/>
      <c r="U90" s="1012"/>
      <c r="V90" s="906">
        <f t="shared" si="37"/>
        <v>0</v>
      </c>
      <c r="W90" s="1016"/>
      <c r="X90" s="1013"/>
      <c r="Y90" s="486"/>
    </row>
    <row r="91" spans="1:25" ht="10.35" customHeight="1" x14ac:dyDescent="0.25">
      <c r="A91" s="144"/>
      <c r="B91" s="144"/>
      <c r="C91" s="953"/>
      <c r="D91" s="954"/>
      <c r="E91" s="954"/>
      <c r="F91" s="954"/>
      <c r="G91" s="954"/>
      <c r="H91" s="954"/>
      <c r="I91" s="954"/>
      <c r="J91" s="954"/>
      <c r="K91" s="954"/>
      <c r="L91" s="1003">
        <f t="shared" si="29"/>
        <v>0</v>
      </c>
      <c r="M91" s="1003">
        <f t="shared" si="30"/>
        <v>0</v>
      </c>
      <c r="N91" s="1003">
        <f t="shared" si="31"/>
        <v>0</v>
      </c>
      <c r="O91" s="954"/>
      <c r="P91" s="954"/>
      <c r="Q91" s="954"/>
      <c r="R91" s="954"/>
      <c r="S91" s="954"/>
      <c r="T91" s="1003"/>
      <c r="U91" s="1014"/>
      <c r="V91" s="907">
        <f t="shared" si="37"/>
        <v>0</v>
      </c>
      <c r="W91" s="1016"/>
      <c r="X91" s="1013"/>
      <c r="Y91" s="486"/>
    </row>
    <row r="92" spans="1:25" ht="10.35" customHeight="1" x14ac:dyDescent="0.25">
      <c r="B92" s="17"/>
      <c r="C92" s="113"/>
      <c r="D92" s="114"/>
      <c r="E92" s="114"/>
      <c r="F92" s="114"/>
      <c r="G92" s="114"/>
      <c r="H92" s="114"/>
      <c r="I92" s="114"/>
      <c r="J92" s="114"/>
      <c r="K92" s="114"/>
      <c r="L92" s="550">
        <f t="shared" si="29"/>
        <v>0</v>
      </c>
      <c r="M92" s="550">
        <f t="shared" si="30"/>
        <v>0</v>
      </c>
      <c r="N92" s="550">
        <f t="shared" si="31"/>
        <v>0</v>
      </c>
      <c r="O92" s="114"/>
      <c r="P92" s="114"/>
      <c r="Q92" s="114"/>
      <c r="R92" s="114"/>
      <c r="S92" s="114"/>
      <c r="T92" s="550"/>
      <c r="U92" s="1012"/>
      <c r="V92" s="906">
        <f t="shared" si="37"/>
        <v>0</v>
      </c>
      <c r="W92" s="1016"/>
      <c r="X92" s="1013"/>
      <c r="Y92" s="486"/>
    </row>
    <row r="93" spans="1:25" s="26" customFormat="1" x14ac:dyDescent="0.25">
      <c r="A93" s="31" t="s">
        <v>242</v>
      </c>
      <c r="B93" s="29" t="s">
        <v>243</v>
      </c>
      <c r="C93" s="1048">
        <f>C94</f>
        <v>0</v>
      </c>
      <c r="D93" s="1049">
        <f>D94</f>
        <v>0</v>
      </c>
      <c r="E93" s="1049">
        <f>E94</f>
        <v>0</v>
      </c>
      <c r="F93" s="1049">
        <f>F94</f>
        <v>2275277</v>
      </c>
      <c r="G93" s="1049"/>
      <c r="H93" s="1049">
        <f>+H94</f>
        <v>2275277</v>
      </c>
      <c r="I93" s="1049">
        <f>+I94</f>
        <v>2275277</v>
      </c>
      <c r="J93" s="1049">
        <f>+J94</f>
        <v>2275277</v>
      </c>
      <c r="K93" s="1050"/>
      <c r="L93" s="1043">
        <f t="shared" si="29"/>
        <v>0</v>
      </c>
      <c r="M93" s="1043">
        <f t="shared" si="30"/>
        <v>0</v>
      </c>
      <c r="N93" s="1043">
        <f t="shared" si="31"/>
        <v>0</v>
      </c>
      <c r="O93" s="1050"/>
      <c r="P93" s="1051">
        <f t="shared" ref="P93:P102" si="53">+(D93-C93)*P$10</f>
        <v>0</v>
      </c>
      <c r="Q93" s="1051">
        <f t="shared" ref="Q93:Q102" si="54">+(E93-D93)*Q$10</f>
        <v>0</v>
      </c>
      <c r="R93" s="1051">
        <f t="shared" ref="R93:R102" si="55">+(F93-E93)*R$10</f>
        <v>2275277</v>
      </c>
      <c r="S93" s="1051">
        <f t="shared" si="52"/>
        <v>2275277</v>
      </c>
      <c r="T93" s="1005">
        <f t="shared" si="36"/>
        <v>0</v>
      </c>
      <c r="U93" s="1006"/>
      <c r="V93" s="906">
        <f t="shared" si="37"/>
        <v>0</v>
      </c>
      <c r="W93" s="1018"/>
      <c r="X93" s="1008"/>
      <c r="Y93" s="1008"/>
    </row>
    <row r="94" spans="1:25" s="30" customFormat="1" x14ac:dyDescent="0.25">
      <c r="A94" s="1052" t="s">
        <v>262</v>
      </c>
      <c r="B94" s="1052" t="s">
        <v>396</v>
      </c>
      <c r="C94" s="1053">
        <v>0</v>
      </c>
      <c r="D94" s="1054">
        <v>0</v>
      </c>
      <c r="E94" s="1054">
        <v>0</v>
      </c>
      <c r="F94" s="1054">
        <v>2275277</v>
      </c>
      <c r="G94" s="1054"/>
      <c r="H94" s="1054">
        <v>2275277</v>
      </c>
      <c r="I94" s="1054">
        <v>2275277</v>
      </c>
      <c r="J94" s="1054">
        <v>2275277</v>
      </c>
      <c r="K94" s="1055"/>
      <c r="L94" s="958">
        <f t="shared" si="29"/>
        <v>0</v>
      </c>
      <c r="M94" s="958">
        <f t="shared" si="30"/>
        <v>0</v>
      </c>
      <c r="N94" s="958">
        <f t="shared" si="31"/>
        <v>0</v>
      </c>
      <c r="O94" s="1055"/>
      <c r="P94" s="934">
        <f t="shared" si="53"/>
        <v>0</v>
      </c>
      <c r="Q94" s="934">
        <f t="shared" si="54"/>
        <v>0</v>
      </c>
      <c r="R94" s="934">
        <f t="shared" si="55"/>
        <v>2275277</v>
      </c>
      <c r="S94" s="934">
        <f t="shared" si="52"/>
        <v>2275277</v>
      </c>
      <c r="T94" s="1007">
        <f t="shared" si="36"/>
        <v>0</v>
      </c>
      <c r="U94" s="1006"/>
      <c r="V94" s="906">
        <f t="shared" si="37"/>
        <v>0</v>
      </c>
      <c r="W94" s="1021"/>
      <c r="X94" s="1022"/>
      <c r="Y94" s="1022"/>
    </row>
    <row r="95" spans="1:25" s="26" customFormat="1" x14ac:dyDescent="0.25">
      <c r="A95" s="3" t="s">
        <v>285</v>
      </c>
      <c r="B95" s="3" t="s">
        <v>286</v>
      </c>
      <c r="C95" s="1041">
        <f>C96+C97+C98</f>
        <v>1000</v>
      </c>
      <c r="D95" s="77">
        <f>+D96+D97+D98</f>
        <v>1000</v>
      </c>
      <c r="E95" s="77">
        <f>SUM(E96:E98)</f>
        <v>1000</v>
      </c>
      <c r="F95" s="77">
        <f>SUM(F96:F98)</f>
        <v>1149239</v>
      </c>
      <c r="G95" s="77"/>
      <c r="H95" s="77">
        <f>+H96+H98</f>
        <v>24498</v>
      </c>
      <c r="I95" s="77">
        <f>+I96+I98</f>
        <v>363182</v>
      </c>
      <c r="J95" s="77">
        <f>+J96+J98</f>
        <v>756240</v>
      </c>
      <c r="K95" s="1047"/>
      <c r="L95" s="1043">
        <f t="shared" si="29"/>
        <v>24.498000000000001</v>
      </c>
      <c r="M95" s="1043">
        <f t="shared" si="30"/>
        <v>363.18200000000002</v>
      </c>
      <c r="N95" s="1043">
        <f t="shared" si="31"/>
        <v>756.24</v>
      </c>
      <c r="O95" s="1047"/>
      <c r="P95" s="105">
        <f t="shared" si="53"/>
        <v>0</v>
      </c>
      <c r="Q95" s="105">
        <f t="shared" si="54"/>
        <v>0</v>
      </c>
      <c r="R95" s="105">
        <f t="shared" si="55"/>
        <v>1148239</v>
      </c>
      <c r="S95" s="105">
        <f t="shared" si="52"/>
        <v>1148239</v>
      </c>
      <c r="T95" s="1005">
        <f t="shared" si="36"/>
        <v>1148.239</v>
      </c>
      <c r="U95" s="1006"/>
      <c r="V95" s="906">
        <f t="shared" si="37"/>
        <v>0</v>
      </c>
      <c r="W95" s="1018"/>
      <c r="X95" s="1008"/>
      <c r="Y95" s="1008"/>
    </row>
    <row r="96" spans="1:25" x14ac:dyDescent="0.25">
      <c r="A96" s="1052" t="s">
        <v>288</v>
      </c>
      <c r="B96" s="1052" t="s">
        <v>397</v>
      </c>
      <c r="C96" s="1053">
        <v>0</v>
      </c>
      <c r="D96" s="174">
        <v>0</v>
      </c>
      <c r="E96" s="174">
        <v>0</v>
      </c>
      <c r="F96" s="174">
        <f>293383+79200</f>
        <v>372583</v>
      </c>
      <c r="G96" s="174"/>
      <c r="H96" s="174">
        <v>0</v>
      </c>
      <c r="I96" s="174">
        <f>+H96</f>
        <v>0</v>
      </c>
      <c r="J96" s="174"/>
      <c r="K96" s="1056"/>
      <c r="L96" s="958">
        <f t="shared" si="29"/>
        <v>0</v>
      </c>
      <c r="M96" s="958">
        <f t="shared" si="30"/>
        <v>0</v>
      </c>
      <c r="N96" s="958">
        <f t="shared" si="31"/>
        <v>0</v>
      </c>
      <c r="O96" s="1056"/>
      <c r="P96" s="934">
        <f t="shared" si="53"/>
        <v>0</v>
      </c>
      <c r="Q96" s="934">
        <f t="shared" si="54"/>
        <v>0</v>
      </c>
      <c r="R96" s="934">
        <f t="shared" si="55"/>
        <v>372583</v>
      </c>
      <c r="S96" s="934">
        <f t="shared" si="52"/>
        <v>372583</v>
      </c>
      <c r="T96" s="1007">
        <f t="shared" si="36"/>
        <v>0</v>
      </c>
      <c r="U96" s="1006"/>
      <c r="V96" s="906">
        <f t="shared" si="37"/>
        <v>0</v>
      </c>
      <c r="W96" s="543"/>
      <c r="X96" s="486"/>
      <c r="Y96" s="486"/>
    </row>
    <row r="97" spans="1:25" x14ac:dyDescent="0.25">
      <c r="A97" s="1052" t="s">
        <v>299</v>
      </c>
      <c r="B97" s="14" t="s">
        <v>300</v>
      </c>
      <c r="C97" s="1053"/>
      <c r="D97" s="174"/>
      <c r="E97" s="174"/>
      <c r="F97" s="174">
        <v>20416</v>
      </c>
      <c r="G97" s="174"/>
      <c r="H97" s="174"/>
      <c r="I97" s="174"/>
      <c r="J97" s="174"/>
      <c r="K97" s="1056"/>
      <c r="L97" s="958">
        <f t="shared" ref="L97" si="56">IF(C97=0,0,H97/C97)</f>
        <v>0</v>
      </c>
      <c r="M97" s="958">
        <f t="shared" ref="M97" si="57">IF(D97=0,0,I97/D97)</f>
        <v>0</v>
      </c>
      <c r="N97" s="958">
        <f t="shared" ref="N97" si="58">IF(E97=0,0,J97/E97)</f>
        <v>0</v>
      </c>
      <c r="O97" s="1056"/>
      <c r="P97" s="934">
        <f t="shared" ref="P97" si="59">+(D97-C97)*P$10</f>
        <v>0</v>
      </c>
      <c r="Q97" s="934">
        <f t="shared" ref="Q97" si="60">+(E97-D97)*Q$10</f>
        <v>0</v>
      </c>
      <c r="R97" s="934">
        <f t="shared" ref="R97" si="61">+(F97-E97)*R$10</f>
        <v>20416</v>
      </c>
      <c r="S97" s="934">
        <f t="shared" ref="S97" si="62">SUM(P97:R97)</f>
        <v>20416</v>
      </c>
      <c r="T97" s="1007">
        <f t="shared" si="36"/>
        <v>0</v>
      </c>
      <c r="U97" s="1006"/>
      <c r="V97" s="906">
        <f t="shared" si="37"/>
        <v>0</v>
      </c>
      <c r="W97" s="543"/>
      <c r="X97" s="486"/>
      <c r="Y97" s="486"/>
    </row>
    <row r="98" spans="1:25" ht="26.4" x14ac:dyDescent="0.25">
      <c r="A98" s="157" t="s">
        <v>470</v>
      </c>
      <c r="B98" s="157" t="s">
        <v>472</v>
      </c>
      <c r="C98" s="122">
        <v>1000</v>
      </c>
      <c r="D98" s="78">
        <v>1000</v>
      </c>
      <c r="E98" s="78">
        <v>1000</v>
      </c>
      <c r="F98" s="78">
        <f>182+756058</f>
        <v>756240</v>
      </c>
      <c r="G98" s="78"/>
      <c r="H98" s="78">
        <f>100+24398</f>
        <v>24498</v>
      </c>
      <c r="I98" s="78">
        <v>363182</v>
      </c>
      <c r="J98" s="78">
        <v>756240</v>
      </c>
      <c r="K98" s="1032"/>
      <c r="L98" s="958">
        <f t="shared" si="29"/>
        <v>24.498000000000001</v>
      </c>
      <c r="M98" s="958">
        <f t="shared" si="30"/>
        <v>363.18200000000002</v>
      </c>
      <c r="N98" s="958">
        <f t="shared" si="31"/>
        <v>756.24</v>
      </c>
      <c r="O98" s="1032"/>
      <c r="P98" s="934">
        <f t="shared" si="53"/>
        <v>0</v>
      </c>
      <c r="Q98" s="934">
        <f t="shared" si="54"/>
        <v>0</v>
      </c>
      <c r="R98" s="934">
        <f t="shared" si="55"/>
        <v>755240</v>
      </c>
      <c r="S98" s="934">
        <f t="shared" si="52"/>
        <v>755240</v>
      </c>
      <c r="T98" s="1007">
        <f t="shared" si="36"/>
        <v>755.24</v>
      </c>
      <c r="U98" s="1006"/>
      <c r="V98" s="906">
        <f t="shared" si="37"/>
        <v>0</v>
      </c>
      <c r="W98" s="543"/>
      <c r="X98" s="486"/>
      <c r="Y98" s="486"/>
    </row>
    <row r="99" spans="1:25" s="26" customFormat="1" x14ac:dyDescent="0.25">
      <c r="A99" s="3" t="s">
        <v>335</v>
      </c>
      <c r="B99" s="3" t="s">
        <v>336</v>
      </c>
      <c r="C99" s="1041">
        <f>+C100+C101</f>
        <v>127379900</v>
      </c>
      <c r="D99" s="949">
        <f>SUM(D100:D101)</f>
        <v>128321500</v>
      </c>
      <c r="E99" s="949">
        <f>SUM(E100:E101)</f>
        <v>128321500</v>
      </c>
      <c r="F99" s="949">
        <f>SUM(F100:F101)</f>
        <v>124236186</v>
      </c>
      <c r="G99" s="949"/>
      <c r="H99" s="949">
        <f>SUM(H100:H101)</f>
        <v>63681768</v>
      </c>
      <c r="I99" s="949">
        <f>SUM(I100:I101)</f>
        <v>93862678</v>
      </c>
      <c r="J99" s="949">
        <f>SUM(J100:J101)</f>
        <v>124236186</v>
      </c>
      <c r="K99" s="1042"/>
      <c r="L99" s="1043">
        <f t="shared" si="29"/>
        <v>0.49993576694596242</v>
      </c>
      <c r="M99" s="1043">
        <f t="shared" si="30"/>
        <v>0.73146493767607146</v>
      </c>
      <c r="N99" s="1043">
        <f t="shared" si="31"/>
        <v>0.96816344883749017</v>
      </c>
      <c r="O99" s="1042"/>
      <c r="P99" s="1044">
        <f t="shared" si="53"/>
        <v>941600</v>
      </c>
      <c r="Q99" s="1044">
        <f t="shared" si="54"/>
        <v>0</v>
      </c>
      <c r="R99" s="1044">
        <f t="shared" si="55"/>
        <v>-4085314</v>
      </c>
      <c r="S99" s="1044">
        <f t="shared" si="52"/>
        <v>-3143714</v>
      </c>
      <c r="T99" s="1005">
        <f t="shared" si="36"/>
        <v>-2.4679827822128922E-2</v>
      </c>
      <c r="U99" s="1006"/>
      <c r="V99" s="906">
        <f t="shared" si="37"/>
        <v>0</v>
      </c>
      <c r="W99" s="1018"/>
      <c r="X99" s="1008"/>
      <c r="Y99" s="1008"/>
    </row>
    <row r="100" spans="1:25" x14ac:dyDescent="0.25">
      <c r="A100" s="27" t="s">
        <v>361</v>
      </c>
      <c r="B100" s="14" t="s">
        <v>327</v>
      </c>
      <c r="C100" s="122">
        <f>+C104</f>
        <v>125499790</v>
      </c>
      <c r="D100" s="78">
        <v>126441390</v>
      </c>
      <c r="E100" s="78">
        <v>126441390</v>
      </c>
      <c r="F100" s="78">
        <v>122356076</v>
      </c>
      <c r="G100" s="78"/>
      <c r="H100" s="78">
        <v>61801658</v>
      </c>
      <c r="I100" s="1040">
        <v>91982568</v>
      </c>
      <c r="J100" s="78">
        <v>122356076</v>
      </c>
      <c r="K100" s="1032"/>
      <c r="L100" s="958">
        <f t="shared" si="29"/>
        <v>0.49244431405024663</v>
      </c>
      <c r="M100" s="958">
        <f t="shared" si="30"/>
        <v>0.72747197733273894</v>
      </c>
      <c r="N100" s="958">
        <f t="shared" si="31"/>
        <v>0.96769005782046524</v>
      </c>
      <c r="O100" s="1032"/>
      <c r="P100" s="934">
        <f t="shared" si="53"/>
        <v>941600</v>
      </c>
      <c r="Q100" s="934">
        <f t="shared" si="54"/>
        <v>0</v>
      </c>
      <c r="R100" s="934">
        <f t="shared" si="55"/>
        <v>-4085314</v>
      </c>
      <c r="S100" s="934">
        <f t="shared" si="52"/>
        <v>-3143714</v>
      </c>
      <c r="T100" s="1007">
        <f t="shared" ref="T100:T102" si="63">IF(C100=0,0,+S100/C100)</f>
        <v>-2.5049555859814585E-2</v>
      </c>
      <c r="U100" s="1006"/>
      <c r="V100" s="906">
        <f t="shared" si="37"/>
        <v>0</v>
      </c>
      <c r="W100" s="543"/>
      <c r="X100" s="486"/>
      <c r="Y100" s="486"/>
    </row>
    <row r="101" spans="1:25" x14ac:dyDescent="0.25">
      <c r="A101" s="14" t="s">
        <v>349</v>
      </c>
      <c r="B101" s="14" t="s">
        <v>350</v>
      </c>
      <c r="C101" s="1057">
        <v>1880110</v>
      </c>
      <c r="D101" s="78">
        <v>1880110</v>
      </c>
      <c r="E101" s="78">
        <v>1880110</v>
      </c>
      <c r="F101" s="78">
        <v>1880110</v>
      </c>
      <c r="G101" s="78"/>
      <c r="H101" s="78">
        <v>1880110</v>
      </c>
      <c r="I101" s="78">
        <v>1880110</v>
      </c>
      <c r="J101" s="78">
        <v>1880110</v>
      </c>
      <c r="K101" s="1032"/>
      <c r="L101" s="958">
        <f t="shared" si="29"/>
        <v>1</v>
      </c>
      <c r="M101" s="958">
        <f t="shared" si="30"/>
        <v>1</v>
      </c>
      <c r="N101" s="958">
        <f t="shared" si="31"/>
        <v>1</v>
      </c>
      <c r="O101" s="1032"/>
      <c r="P101" s="934">
        <f t="shared" si="53"/>
        <v>0</v>
      </c>
      <c r="Q101" s="934">
        <f t="shared" si="54"/>
        <v>0</v>
      </c>
      <c r="R101" s="934">
        <f t="shared" si="55"/>
        <v>0</v>
      </c>
      <c r="S101" s="934">
        <f t="shared" si="52"/>
        <v>0</v>
      </c>
      <c r="T101" s="1007">
        <f t="shared" si="63"/>
        <v>0</v>
      </c>
      <c r="U101" s="1006"/>
      <c r="V101" s="906">
        <f t="shared" si="37"/>
        <v>0</v>
      </c>
      <c r="W101" s="543"/>
      <c r="X101" s="486"/>
      <c r="Y101" s="486"/>
    </row>
    <row r="102" spans="1:25" ht="18" customHeight="1" x14ac:dyDescent="0.25">
      <c r="A102" s="5"/>
      <c r="B102" s="1045" t="s">
        <v>379</v>
      </c>
      <c r="C102" s="1058">
        <f>+C93+C95+C99</f>
        <v>127380900</v>
      </c>
      <c r="D102" s="1058">
        <f>+D93+D95+D99</f>
        <v>128322500</v>
      </c>
      <c r="E102" s="1058">
        <f>+E94+E95+E99</f>
        <v>128322500</v>
      </c>
      <c r="F102" s="1058">
        <f>+F94+F95+F99</f>
        <v>127660702</v>
      </c>
      <c r="G102" s="1058"/>
      <c r="H102" s="1058">
        <f>+H94+H95+H99</f>
        <v>65981543</v>
      </c>
      <c r="I102" s="1058">
        <f t="shared" ref="I102" si="64">+I94+I95+I99</f>
        <v>96501137</v>
      </c>
      <c r="J102" s="1058">
        <f t="shared" ref="J102" si="65">+J94+J95+J99</f>
        <v>127267703</v>
      </c>
      <c r="K102" s="1030"/>
      <c r="L102" s="1043">
        <f t="shared" si="29"/>
        <v>0.51798615805038273</v>
      </c>
      <c r="M102" s="1043">
        <f t="shared" si="30"/>
        <v>0.75202039392935771</v>
      </c>
      <c r="N102" s="1043">
        <f t="shared" si="31"/>
        <v>0.99178010871047551</v>
      </c>
      <c r="O102" s="1030"/>
      <c r="P102" s="1059">
        <f t="shared" si="53"/>
        <v>941600</v>
      </c>
      <c r="Q102" s="1059">
        <f t="shared" si="54"/>
        <v>0</v>
      </c>
      <c r="R102" s="1059">
        <f t="shared" si="55"/>
        <v>-661798</v>
      </c>
      <c r="S102" s="1059">
        <f t="shared" si="52"/>
        <v>279802</v>
      </c>
      <c r="T102" s="1005">
        <f t="shared" si="63"/>
        <v>2.1965773518635837E-3</v>
      </c>
      <c r="U102" s="1006"/>
      <c r="V102" s="906">
        <f t="shared" si="37"/>
        <v>0</v>
      </c>
      <c r="W102" s="543"/>
      <c r="X102" s="486"/>
      <c r="Y102" s="486"/>
    </row>
    <row r="103" spans="1:25" x14ac:dyDescent="0.25">
      <c r="B103" s="956"/>
      <c r="C103" s="114"/>
      <c r="D103" s="114"/>
      <c r="E103" s="114"/>
      <c r="F103" s="114"/>
      <c r="G103" s="114"/>
      <c r="H103" s="114"/>
      <c r="I103" s="114"/>
      <c r="J103" s="114"/>
      <c r="K103" s="956"/>
      <c r="L103" s="1060"/>
      <c r="M103" s="1060"/>
      <c r="N103" s="1060"/>
      <c r="O103" s="956"/>
      <c r="P103" s="110"/>
      <c r="Q103" s="110"/>
      <c r="R103" s="110"/>
      <c r="S103" s="110"/>
      <c r="T103" s="1061"/>
      <c r="U103" s="1023"/>
      <c r="V103" s="486"/>
      <c r="W103" s="543"/>
      <c r="X103" s="486"/>
      <c r="Y103" s="486"/>
    </row>
    <row r="104" spans="1:25" x14ac:dyDescent="0.25">
      <c r="C104" s="43">
        <f>+C89-C93-C95-C101</f>
        <v>125499790</v>
      </c>
      <c r="D104" s="43"/>
      <c r="E104" s="43"/>
      <c r="F104" s="43"/>
      <c r="G104" s="43"/>
      <c r="H104" s="43"/>
      <c r="I104" s="43"/>
      <c r="J104" s="43"/>
      <c r="L104" s="539"/>
      <c r="M104" s="539"/>
      <c r="N104" s="539"/>
      <c r="P104" s="110"/>
      <c r="Q104" s="110"/>
      <c r="R104" s="110"/>
      <c r="S104" s="110"/>
      <c r="T104" s="556"/>
      <c r="U104" s="1023"/>
      <c r="V104" s="486"/>
      <c r="W104" s="486"/>
      <c r="X104" s="486"/>
      <c r="Y104" s="486"/>
    </row>
    <row r="105" spans="1:25" x14ac:dyDescent="0.25">
      <c r="L105" s="549"/>
      <c r="M105" s="549"/>
      <c r="N105" s="549"/>
      <c r="P105" s="110"/>
      <c r="Q105" s="110"/>
      <c r="R105" s="110"/>
      <c r="S105" s="110"/>
      <c r="T105" s="556"/>
      <c r="U105" s="1024"/>
      <c r="V105" s="486"/>
      <c r="W105" s="486"/>
      <c r="X105" s="486"/>
      <c r="Y105" s="486"/>
    </row>
    <row r="106" spans="1:25" x14ac:dyDescent="0.25">
      <c r="L106" s="549"/>
      <c r="M106" s="549"/>
      <c r="N106" s="549"/>
      <c r="P106" s="110"/>
      <c r="Q106" s="110"/>
      <c r="R106" s="110"/>
      <c r="S106" s="110"/>
      <c r="T106" s="556"/>
      <c r="U106" s="8"/>
    </row>
    <row r="107" spans="1:25" x14ac:dyDescent="0.25">
      <c r="A107" s="168"/>
      <c r="B107" s="34" t="s">
        <v>482</v>
      </c>
      <c r="C107" s="173">
        <v>108362800</v>
      </c>
      <c r="L107" s="549"/>
      <c r="M107" s="549"/>
      <c r="N107" s="549"/>
      <c r="P107" s="110"/>
      <c r="Q107" s="110"/>
      <c r="R107" s="110"/>
      <c r="S107" s="110"/>
      <c r="T107" s="556"/>
      <c r="U107" s="8"/>
    </row>
    <row r="108" spans="1:25" x14ac:dyDescent="0.25">
      <c r="L108" s="549"/>
      <c r="M108" s="549"/>
      <c r="N108" s="549"/>
      <c r="P108" s="110"/>
      <c r="Q108" s="110"/>
      <c r="R108" s="110"/>
      <c r="S108" s="110"/>
      <c r="T108" s="556"/>
      <c r="U108" s="8"/>
    </row>
    <row r="109" spans="1:25" x14ac:dyDescent="0.25">
      <c r="L109" s="549"/>
      <c r="M109" s="549"/>
      <c r="N109" s="549"/>
      <c r="P109" s="110"/>
      <c r="Q109" s="110"/>
      <c r="R109" s="110"/>
      <c r="S109" s="110"/>
      <c r="T109" s="556"/>
    </row>
    <row r="110" spans="1:25" x14ac:dyDescent="0.25">
      <c r="L110" s="549"/>
      <c r="M110" s="549"/>
      <c r="N110" s="549"/>
      <c r="P110" s="110"/>
      <c r="Q110" s="110"/>
      <c r="R110" s="110"/>
      <c r="S110" s="110"/>
      <c r="T110" s="556"/>
    </row>
    <row r="111" spans="1:25" x14ac:dyDescent="0.25">
      <c r="P111" s="110"/>
      <c r="Q111" s="110"/>
      <c r="R111" s="110"/>
      <c r="S111" s="110"/>
      <c r="U111" s="2"/>
    </row>
    <row r="112" spans="1:25" x14ac:dyDescent="0.25">
      <c r="P112" s="110"/>
      <c r="Q112" s="110"/>
      <c r="R112" s="110"/>
      <c r="S112" s="110"/>
    </row>
  </sheetData>
  <mergeCells count="5">
    <mergeCell ref="C9:F9"/>
    <mergeCell ref="H9:N9"/>
    <mergeCell ref="P9:T9"/>
    <mergeCell ref="H10:J10"/>
    <mergeCell ref="L10:N10"/>
  </mergeCells>
  <phoneticPr fontId="2" type="noConversion"/>
  <printOptions horizontalCentered="1"/>
  <pageMargins left="0" right="0" top="0.59055118110236227" bottom="0" header="0.51181102362204722" footer="0.51181102362204722"/>
  <pageSetup paperSize="9" scale="53" fitToHeight="0" orientation="landscape" r:id="rId1"/>
  <headerFooter alignWithMargins="0">
    <oddHeader>&amp;R&amp;"Arial,Félkövér dőlt"&amp;A  /&amp;"Arial,Normál"
&amp;"Arial,Dőlt"&amp;8&amp;F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109"/>
  <sheetViews>
    <sheetView view="pageBreakPreview" zoomScale="75" zoomScaleNormal="100" zoomScaleSheetLayoutView="75" workbookViewId="0">
      <selection activeCell="V2" sqref="V2:V4"/>
    </sheetView>
  </sheetViews>
  <sheetFormatPr defaultRowHeight="13.2" x14ac:dyDescent="0.25"/>
  <cols>
    <col min="1" max="1" width="6.6640625" style="9" bestFit="1" customWidth="1"/>
    <col min="2" max="2" width="53.44140625" style="9" customWidth="1"/>
    <col min="3" max="6" width="15.5546875" style="9" customWidth="1"/>
    <col min="7" max="7" width="0.6640625" style="9" customWidth="1"/>
    <col min="8" max="10" width="15.5546875" style="9" customWidth="1"/>
    <col min="11" max="11" width="0.6640625" style="9" customWidth="1"/>
    <col min="12" max="14" width="10.5546875" style="9" customWidth="1"/>
    <col min="15" max="15" width="0.6640625" style="9" customWidth="1"/>
    <col min="16" max="18" width="14.5546875" style="9" customWidth="1"/>
    <col min="19" max="19" width="15.5546875" style="9" customWidth="1"/>
    <col min="21" max="21" width="0.6640625" customWidth="1"/>
    <col min="22" max="22" width="3.44140625" customWidth="1"/>
  </cols>
  <sheetData>
    <row r="1" spans="1:28" ht="24.6" x14ac:dyDescent="0.25">
      <c r="A1" s="119" t="s">
        <v>431</v>
      </c>
      <c r="B1" s="489"/>
      <c r="C1" s="489"/>
      <c r="D1" s="489"/>
      <c r="E1" s="489"/>
      <c r="F1" s="489"/>
      <c r="G1" s="490"/>
      <c r="H1" s="491"/>
      <c r="I1" s="491"/>
      <c r="J1" s="492" t="str">
        <f>+'1. Sülysáp összesen'!J1</f>
        <v>2018. ÉV KÖLTSÉGVETÉS</v>
      </c>
      <c r="K1" s="83"/>
      <c r="L1" s="83"/>
      <c r="M1" s="491"/>
      <c r="N1" s="491"/>
      <c r="O1" s="83"/>
      <c r="P1" s="491"/>
      <c r="Q1" s="491"/>
      <c r="R1" s="491"/>
      <c r="S1" s="491"/>
      <c r="T1" s="491"/>
      <c r="U1" s="491"/>
      <c r="V1" s="491"/>
      <c r="W1" s="28"/>
      <c r="X1" s="28"/>
      <c r="Y1" s="28"/>
    </row>
    <row r="2" spans="1:28" x14ac:dyDescent="0.25">
      <c r="A2" s="557"/>
      <c r="B2" s="557"/>
      <c r="C2" s="1062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1026"/>
      <c r="W2" s="46"/>
      <c r="X2" s="46"/>
    </row>
    <row r="3" spans="1:28" x14ac:dyDescent="0.25">
      <c r="A3" s="557"/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928"/>
      <c r="W3" s="46"/>
      <c r="X3" s="46"/>
    </row>
    <row r="4" spans="1:28" x14ac:dyDescent="0.25">
      <c r="A4" s="559"/>
      <c r="B4" s="496"/>
      <c r="C4" s="560"/>
      <c r="D4" s="560"/>
      <c r="E4" s="560"/>
      <c r="F4" s="560"/>
      <c r="G4" s="560"/>
      <c r="H4" s="560"/>
      <c r="I4" s="560"/>
      <c r="J4" s="560"/>
      <c r="K4" s="560"/>
      <c r="L4" s="496"/>
      <c r="M4" s="496"/>
      <c r="N4" s="496"/>
      <c r="O4" s="560"/>
      <c r="P4" s="560"/>
      <c r="Q4" s="560"/>
      <c r="R4" s="560"/>
      <c r="S4" s="560"/>
      <c r="T4" s="1065"/>
      <c r="U4" s="978"/>
      <c r="V4" s="929" t="str">
        <f>+'1. Sülysáp összesen'!V5</f>
        <v>F-oszlop</v>
      </c>
      <c r="W4" s="927"/>
      <c r="X4" s="46"/>
    </row>
    <row r="5" spans="1:28" ht="20.100000000000001" customHeight="1" x14ac:dyDescent="0.25">
      <c r="A5" s="561"/>
      <c r="B5" s="561" t="s">
        <v>380</v>
      </c>
      <c r="C5" s="562">
        <f>+C89</f>
        <v>33719800</v>
      </c>
      <c r="D5" s="562">
        <f t="shared" ref="D5:E5" si="0">+D89</f>
        <v>33719800</v>
      </c>
      <c r="E5" s="562">
        <f t="shared" si="0"/>
        <v>33719800</v>
      </c>
      <c r="F5" s="562">
        <f>+F89</f>
        <v>29375496</v>
      </c>
      <c r="G5" s="562"/>
      <c r="H5" s="562">
        <f>+H89</f>
        <v>14405609</v>
      </c>
      <c r="I5" s="562">
        <f t="shared" ref="I5:J5" si="1">+I89</f>
        <v>21930957</v>
      </c>
      <c r="J5" s="562">
        <f t="shared" si="1"/>
        <v>28684753</v>
      </c>
      <c r="K5" s="131"/>
      <c r="L5" s="563">
        <f>IF(C5=0,0,H5/C5)</f>
        <v>0.4272151376935806</v>
      </c>
      <c r="M5" s="563">
        <f>IF(D5=0,0,I5/D5)</f>
        <v>0.65038811024976428</v>
      </c>
      <c r="N5" s="563">
        <f>IF(E5=0,0,J5/E5)</f>
        <v>0.85067980830254031</v>
      </c>
      <c r="O5" s="131"/>
      <c r="P5" s="562">
        <f>+P89</f>
        <v>0</v>
      </c>
      <c r="Q5" s="562">
        <f>+Q89</f>
        <v>0</v>
      </c>
      <c r="R5" s="562">
        <f>+R89</f>
        <v>-4344304</v>
      </c>
      <c r="S5" s="562">
        <f>+S89</f>
        <v>-4344304</v>
      </c>
      <c r="T5" s="910">
        <f>IF(C5=0,0,+S5/C5)</f>
        <v>-0.12883540234520963</v>
      </c>
      <c r="U5" s="565"/>
      <c r="V5" s="688">
        <f>+S5-F5+C5</f>
        <v>0</v>
      </c>
      <c r="W5" s="927"/>
      <c r="X5" s="46"/>
    </row>
    <row r="6" spans="1:28" ht="20.100000000000001" customHeight="1" x14ac:dyDescent="0.25">
      <c r="A6" s="566"/>
      <c r="B6" s="566" t="s">
        <v>379</v>
      </c>
      <c r="C6" s="567">
        <f>+C102</f>
        <v>33719800</v>
      </c>
      <c r="D6" s="567">
        <f t="shared" ref="D6:J6" si="2">+D102</f>
        <v>33719800</v>
      </c>
      <c r="E6" s="567">
        <f t="shared" si="2"/>
        <v>33719800</v>
      </c>
      <c r="F6" s="567">
        <f t="shared" si="2"/>
        <v>29375496</v>
      </c>
      <c r="G6" s="567"/>
      <c r="H6" s="567">
        <f t="shared" si="2"/>
        <v>15177023</v>
      </c>
      <c r="I6" s="567">
        <f t="shared" si="2"/>
        <v>23663012</v>
      </c>
      <c r="J6" s="567">
        <f t="shared" si="2"/>
        <v>29391165</v>
      </c>
      <c r="K6" s="128"/>
      <c r="L6" s="563">
        <f t="shared" ref="L6:L7" si="3">IF(C6=0,0,H6/C6)</f>
        <v>0.45009231964602398</v>
      </c>
      <c r="M6" s="563">
        <f t="shared" ref="M6:M7" si="4">IF(D6=0,0,I6/D6)</f>
        <v>0.70175422155528799</v>
      </c>
      <c r="N6" s="563">
        <f t="shared" ref="N6:N7" si="5">IF(E6=0,0,J6/E6)</f>
        <v>0.87162928012621665</v>
      </c>
      <c r="O6" s="128"/>
      <c r="P6" s="567">
        <f>+P102</f>
        <v>0</v>
      </c>
      <c r="Q6" s="567">
        <f t="shared" ref="Q6:S6" si="6">+Q102</f>
        <v>0</v>
      </c>
      <c r="R6" s="567">
        <f t="shared" si="6"/>
        <v>-4344304</v>
      </c>
      <c r="S6" s="567">
        <f t="shared" si="6"/>
        <v>-4344304</v>
      </c>
      <c r="T6" s="909">
        <f>IF(C6=0,0,+S6/C6)</f>
        <v>-0.12883540234520963</v>
      </c>
      <c r="U6" s="565"/>
      <c r="V6" s="688">
        <f t="shared" ref="V6:V7" si="7">+S6-F6+C6</f>
        <v>0</v>
      </c>
      <c r="W6" s="927"/>
      <c r="X6" s="46"/>
    </row>
    <row r="7" spans="1:28" ht="20.100000000000001" customHeight="1" x14ac:dyDescent="0.25">
      <c r="A7" s="566"/>
      <c r="B7" s="566" t="s">
        <v>416</v>
      </c>
      <c r="C7" s="567">
        <f>+C6-C5</f>
        <v>0</v>
      </c>
      <c r="D7" s="567">
        <f t="shared" ref="D7:H7" si="8">+D6-D5</f>
        <v>0</v>
      </c>
      <c r="E7" s="567">
        <f t="shared" si="8"/>
        <v>0</v>
      </c>
      <c r="F7" s="567">
        <f t="shared" si="8"/>
        <v>0</v>
      </c>
      <c r="G7" s="567"/>
      <c r="H7" s="567">
        <f t="shared" si="8"/>
        <v>771414</v>
      </c>
      <c r="I7" s="567">
        <f>+I6-I5</f>
        <v>1732055</v>
      </c>
      <c r="J7" s="567">
        <f t="shared" ref="J7" si="9">+J6-J5</f>
        <v>706412</v>
      </c>
      <c r="K7" s="128"/>
      <c r="L7" s="563">
        <f t="shared" si="3"/>
        <v>0</v>
      </c>
      <c r="M7" s="563">
        <f t="shared" si="4"/>
        <v>0</v>
      </c>
      <c r="N7" s="563">
        <f t="shared" si="5"/>
        <v>0</v>
      </c>
      <c r="O7" s="128"/>
      <c r="P7" s="567">
        <f t="shared" ref="P7:S7" si="10">+P6-P5</f>
        <v>0</v>
      </c>
      <c r="Q7" s="567">
        <f t="shared" si="10"/>
        <v>0</v>
      </c>
      <c r="R7" s="567">
        <f t="shared" si="10"/>
        <v>0</v>
      </c>
      <c r="S7" s="567">
        <f t="shared" si="10"/>
        <v>0</v>
      </c>
      <c r="T7" s="909">
        <f>IF(C7=0,0,+S7/C7)</f>
        <v>0</v>
      </c>
      <c r="U7" s="565"/>
      <c r="V7" s="688">
        <f t="shared" si="7"/>
        <v>0</v>
      </c>
      <c r="W7" s="927"/>
      <c r="X7" s="46"/>
    </row>
    <row r="8" spans="1:28" x14ac:dyDescent="0.25">
      <c r="A8" s="568"/>
      <c r="B8" s="569"/>
      <c r="C8" s="570"/>
      <c r="D8" s="571"/>
      <c r="E8" s="571"/>
      <c r="F8" s="571"/>
      <c r="G8" s="572"/>
      <c r="H8" s="572"/>
      <c r="I8" s="572"/>
      <c r="J8" s="572"/>
      <c r="K8" s="572"/>
      <c r="L8" s="518"/>
      <c r="M8" s="518"/>
      <c r="N8" s="518"/>
      <c r="O8" s="572"/>
      <c r="P8" s="503"/>
      <c r="Q8" s="503"/>
      <c r="R8" s="503"/>
      <c r="S8" s="503"/>
      <c r="T8" s="511"/>
      <c r="U8" s="152"/>
      <c r="V8" s="153"/>
      <c r="W8" s="46"/>
      <c r="X8" s="46"/>
    </row>
    <row r="9" spans="1:28" ht="15.6" x14ac:dyDescent="0.25">
      <c r="A9" s="573"/>
      <c r="B9" s="574"/>
      <c r="C9" s="1093" t="s">
        <v>415</v>
      </c>
      <c r="D9" s="1116"/>
      <c r="E9" s="1116"/>
      <c r="F9" s="1117"/>
      <c r="G9" s="575"/>
      <c r="H9" s="1093" t="s">
        <v>414</v>
      </c>
      <c r="I9" s="1116"/>
      <c r="J9" s="1116"/>
      <c r="K9" s="1116"/>
      <c r="L9" s="1116"/>
      <c r="M9" s="1116"/>
      <c r="N9" s="1117"/>
      <c r="O9" s="575"/>
      <c r="P9" s="1093" t="s">
        <v>411</v>
      </c>
      <c r="Q9" s="1116"/>
      <c r="R9" s="1116"/>
      <c r="S9" s="1116"/>
      <c r="T9" s="1117"/>
      <c r="U9" s="576"/>
      <c r="V9" s="153"/>
      <c r="W9" s="46"/>
      <c r="X9" s="46"/>
    </row>
    <row r="10" spans="1:28" x14ac:dyDescent="0.25">
      <c r="A10" s="559"/>
      <c r="B10" s="496"/>
      <c r="C10" s="577"/>
      <c r="D10" s="560"/>
      <c r="E10" s="560"/>
      <c r="F10" s="578"/>
      <c r="G10" s="61"/>
      <c r="H10" s="1096" t="s">
        <v>424</v>
      </c>
      <c r="I10" s="1118"/>
      <c r="J10" s="1119"/>
      <c r="K10" s="61"/>
      <c r="L10" s="1096" t="s">
        <v>423</v>
      </c>
      <c r="M10" s="1118"/>
      <c r="N10" s="1119"/>
      <c r="O10" s="61"/>
      <c r="P10" s="579">
        <f>+' 2. Önk. Bevételek'!P8</f>
        <v>1</v>
      </c>
      <c r="Q10" s="579">
        <f>+' 2. Önk. Bevételek'!Q8</f>
        <v>1</v>
      </c>
      <c r="R10" s="579">
        <f>+' 2. Önk. Bevételek'!R8</f>
        <v>1</v>
      </c>
      <c r="S10" s="579"/>
      <c r="T10" s="579"/>
      <c r="U10" s="580"/>
      <c r="V10" s="581"/>
      <c r="W10" s="51"/>
      <c r="X10" s="51"/>
      <c r="Y10" s="51"/>
      <c r="Z10" s="51"/>
    </row>
    <row r="11" spans="1:28" ht="61.2" x14ac:dyDescent="0.25">
      <c r="A11" s="19" t="s">
        <v>375</v>
      </c>
      <c r="B11" s="19" t="s">
        <v>373</v>
      </c>
      <c r="C11" s="163" t="s">
        <v>484</v>
      </c>
      <c r="D11" s="141" t="s">
        <v>485</v>
      </c>
      <c r="E11" s="141" t="s">
        <v>486</v>
      </c>
      <c r="F11" s="164" t="s">
        <v>487</v>
      </c>
      <c r="G11" s="141"/>
      <c r="H11" s="160" t="s">
        <v>497</v>
      </c>
      <c r="I11" s="142" t="s">
        <v>498</v>
      </c>
      <c r="J11" s="142" t="s">
        <v>499</v>
      </c>
      <c r="K11" s="141"/>
      <c r="L11" s="143" t="s">
        <v>500</v>
      </c>
      <c r="M11" s="143" t="s">
        <v>502</v>
      </c>
      <c r="N11" s="161" t="s">
        <v>501</v>
      </c>
      <c r="O11" s="141"/>
      <c r="P11" s="160" t="s">
        <v>494</v>
      </c>
      <c r="Q11" s="142" t="s">
        <v>495</v>
      </c>
      <c r="R11" s="142" t="s">
        <v>496</v>
      </c>
      <c r="S11" s="142" t="s">
        <v>412</v>
      </c>
      <c r="T11" s="161" t="s">
        <v>413</v>
      </c>
      <c r="U11" s="74"/>
      <c r="V11" s="52" t="s">
        <v>417</v>
      </c>
      <c r="W11" s="46"/>
      <c r="X11" s="46"/>
    </row>
    <row r="12" spans="1:28" ht="12.75" customHeight="1" x14ac:dyDescent="0.25">
      <c r="A12" s="527"/>
      <c r="B12" s="533"/>
      <c r="C12" s="64"/>
      <c r="D12" s="64"/>
      <c r="E12" s="64"/>
      <c r="F12" s="64"/>
      <c r="G12" s="64"/>
      <c r="H12" s="64"/>
      <c r="I12" s="64"/>
      <c r="J12" s="64"/>
      <c r="K12" s="64"/>
      <c r="L12" s="916"/>
      <c r="M12" s="916"/>
      <c r="N12" s="916"/>
      <c r="O12" s="64"/>
      <c r="P12" s="64"/>
      <c r="Q12" s="64"/>
      <c r="R12" s="64"/>
      <c r="S12" s="64"/>
      <c r="T12" s="543"/>
      <c r="U12" s="543"/>
      <c r="V12" s="543"/>
      <c r="W12" s="486"/>
      <c r="X12" s="486"/>
      <c r="Y12" s="486"/>
      <c r="Z12" s="486"/>
      <c r="AA12" s="486"/>
      <c r="AB12" s="486"/>
    </row>
    <row r="13" spans="1:28" ht="12.75" customHeight="1" x14ac:dyDescent="0.25">
      <c r="A13" s="720" t="s">
        <v>0</v>
      </c>
      <c r="B13" s="149" t="s">
        <v>3</v>
      </c>
      <c r="C13" s="128">
        <f>SUM(C14:C28)</f>
        <v>15154800</v>
      </c>
      <c r="D13" s="128">
        <f t="shared" ref="D13:J13" si="11">SUM(D14:D28)</f>
        <v>15154800</v>
      </c>
      <c r="E13" s="128">
        <f t="shared" si="11"/>
        <v>15341000</v>
      </c>
      <c r="F13" s="128">
        <f t="shared" si="11"/>
        <v>15302921</v>
      </c>
      <c r="G13" s="128"/>
      <c r="H13" s="128">
        <f t="shared" si="11"/>
        <v>7355054</v>
      </c>
      <c r="I13" s="128">
        <f t="shared" si="11"/>
        <v>11516800</v>
      </c>
      <c r="J13" s="128">
        <f t="shared" si="11"/>
        <v>14941528</v>
      </c>
      <c r="K13" s="128"/>
      <c r="L13" s="514">
        <f t="shared" ref="L13:L76" si="12">IF(C13=0,0,H13/C13)</f>
        <v>0.48532834481484416</v>
      </c>
      <c r="M13" s="514">
        <f t="shared" ref="M13:M76" si="13">IF(D13=0,0,I13/D13)</f>
        <v>0.7599440441312324</v>
      </c>
      <c r="N13" s="514">
        <f t="shared" ref="N13:N76" si="14">IF(E13=0,0,J13/E13)</f>
        <v>0.97396049801186368</v>
      </c>
      <c r="O13" s="128"/>
      <c r="P13" s="128">
        <f t="shared" ref="P13:P22" si="15">+(D13-C13)*P$10</f>
        <v>0</v>
      </c>
      <c r="Q13" s="128">
        <f t="shared" ref="Q13:Q22" si="16">+(E13-D13)*Q$10</f>
        <v>186200</v>
      </c>
      <c r="R13" s="128">
        <f t="shared" ref="R13:R22" si="17">+(F13-E13)*R$10</f>
        <v>-38079</v>
      </c>
      <c r="S13" s="128">
        <f>SUM(P13:R13)</f>
        <v>148121</v>
      </c>
      <c r="T13" s="553">
        <f>IF(C13=0,0,+S13/C13)</f>
        <v>9.7738670256288431E-3</v>
      </c>
      <c r="U13" s="1015"/>
      <c r="V13" s="690">
        <f t="shared" ref="V13:V76" si="18">+S13-F13+C13</f>
        <v>0</v>
      </c>
      <c r="W13" s="486"/>
      <c r="X13" s="486"/>
      <c r="Y13" s="486"/>
      <c r="Z13" s="486"/>
      <c r="AA13" s="486"/>
      <c r="AB13" s="486"/>
    </row>
    <row r="14" spans="1:28" ht="12.75" customHeight="1" x14ac:dyDescent="0.25">
      <c r="A14" s="527" t="s">
        <v>1</v>
      </c>
      <c r="B14" s="533"/>
      <c r="C14" s="64"/>
      <c r="D14" s="64"/>
      <c r="E14" s="64"/>
      <c r="F14" s="64"/>
      <c r="G14" s="64"/>
      <c r="H14" s="64"/>
      <c r="I14" s="64"/>
      <c r="J14" s="64"/>
      <c r="K14" s="64"/>
      <c r="L14" s="518"/>
      <c r="M14" s="518"/>
      <c r="N14" s="518"/>
      <c r="O14" s="64"/>
      <c r="P14" s="570">
        <f t="shared" si="15"/>
        <v>0</v>
      </c>
      <c r="Q14" s="570">
        <f t="shared" si="16"/>
        <v>0</v>
      </c>
      <c r="R14" s="570">
        <f t="shared" si="17"/>
        <v>0</v>
      </c>
      <c r="S14" s="570">
        <f>SUM(P14:R14)</f>
        <v>0</v>
      </c>
      <c r="T14" s="553">
        <f>IF(C14=0,0,+S14/C14)</f>
        <v>0</v>
      </c>
      <c r="U14" s="1015"/>
      <c r="V14" s="690">
        <f t="shared" si="18"/>
        <v>0</v>
      </c>
      <c r="W14" s="486"/>
      <c r="X14" s="486"/>
      <c r="Y14" s="486"/>
      <c r="Z14" s="486"/>
      <c r="AA14" s="486"/>
      <c r="AB14" s="486"/>
    </row>
    <row r="15" spans="1:28" ht="12.75" customHeight="1" x14ac:dyDescent="0.25">
      <c r="A15" s="527" t="s">
        <v>2</v>
      </c>
      <c r="B15" s="530" t="s">
        <v>364</v>
      </c>
      <c r="C15" s="64">
        <v>14708400</v>
      </c>
      <c r="D15" s="64">
        <v>14608400</v>
      </c>
      <c r="E15" s="64">
        <v>14339092</v>
      </c>
      <c r="F15" s="64">
        <v>13952413</v>
      </c>
      <c r="G15" s="64"/>
      <c r="H15" s="64">
        <v>7131304</v>
      </c>
      <c r="I15" s="64">
        <v>10743298</v>
      </c>
      <c r="J15" s="64">
        <v>13635000</v>
      </c>
      <c r="K15" s="64"/>
      <c r="L15" s="518">
        <f t="shared" si="12"/>
        <v>0.48484566642190857</v>
      </c>
      <c r="M15" s="518">
        <f t="shared" si="13"/>
        <v>0.73541921086498174</v>
      </c>
      <c r="N15" s="518">
        <f t="shared" si="14"/>
        <v>0.95089703030010553</v>
      </c>
      <c r="O15" s="64"/>
      <c r="P15" s="570">
        <f t="shared" ref="P15" si="19">+(D15-C15)*P$10</f>
        <v>-100000</v>
      </c>
      <c r="Q15" s="570">
        <f t="shared" ref="Q15" si="20">+(E15-D15)*Q$10</f>
        <v>-269308</v>
      </c>
      <c r="R15" s="570">
        <f t="shared" ref="R15" si="21">+(F15-E15)*R$10</f>
        <v>-386679</v>
      </c>
      <c r="S15" s="570">
        <f t="shared" ref="S15" si="22">SUM(P15:R15)</f>
        <v>-755987</v>
      </c>
      <c r="T15" s="553">
        <f t="shared" ref="T15" si="23">IF(C15=0,0,+S15/C15)</f>
        <v>-5.139831660819668E-2</v>
      </c>
      <c r="U15" s="543"/>
      <c r="V15" s="690">
        <f t="shared" si="18"/>
        <v>0</v>
      </c>
      <c r="W15" s="486"/>
      <c r="X15" s="486"/>
      <c r="Y15" s="486"/>
      <c r="Z15" s="486"/>
      <c r="AA15" s="486"/>
      <c r="AB15" s="486"/>
    </row>
    <row r="16" spans="1:28" ht="12.75" customHeight="1" x14ac:dyDescent="0.25">
      <c r="A16" s="527" t="s">
        <v>13</v>
      </c>
      <c r="B16" s="533" t="s">
        <v>4</v>
      </c>
      <c r="C16" s="64"/>
      <c r="D16" s="64"/>
      <c r="E16" s="64"/>
      <c r="F16" s="64"/>
      <c r="G16" s="64"/>
      <c r="H16" s="64"/>
      <c r="I16" s="64"/>
      <c r="J16" s="64"/>
      <c r="K16" s="64"/>
      <c r="L16" s="518">
        <f t="shared" si="12"/>
        <v>0</v>
      </c>
      <c r="M16" s="518">
        <f t="shared" si="13"/>
        <v>0</v>
      </c>
      <c r="N16" s="518">
        <f t="shared" si="14"/>
        <v>0</v>
      </c>
      <c r="O16" s="64"/>
      <c r="P16" s="570">
        <f t="shared" si="15"/>
        <v>0</v>
      </c>
      <c r="Q16" s="570">
        <f t="shared" si="16"/>
        <v>0</v>
      </c>
      <c r="R16" s="570">
        <f t="shared" si="17"/>
        <v>0</v>
      </c>
      <c r="S16" s="570">
        <f t="shared" ref="S16:S22" si="24">SUM(P16:R16)</f>
        <v>0</v>
      </c>
      <c r="T16" s="553">
        <f t="shared" ref="T16:T47" si="25">IF(C16=0,0,+S16/C16)</f>
        <v>0</v>
      </c>
      <c r="U16" s="1015"/>
      <c r="V16" s="690">
        <f t="shared" si="18"/>
        <v>0</v>
      </c>
      <c r="W16" s="486"/>
      <c r="X16" s="486"/>
      <c r="Y16" s="486"/>
      <c r="Z16" s="486"/>
      <c r="AA16" s="486"/>
      <c r="AB16" s="486"/>
    </row>
    <row r="17" spans="1:28" ht="12.75" customHeight="1" x14ac:dyDescent="0.25">
      <c r="A17" s="527" t="s">
        <v>14</v>
      </c>
      <c r="B17" s="533" t="s">
        <v>5</v>
      </c>
      <c r="C17" s="64"/>
      <c r="D17" s="64"/>
      <c r="E17" s="64"/>
      <c r="F17" s="64"/>
      <c r="G17" s="64"/>
      <c r="H17" s="64"/>
      <c r="I17" s="64"/>
      <c r="J17" s="64"/>
      <c r="K17" s="64"/>
      <c r="L17" s="518">
        <f t="shared" si="12"/>
        <v>0</v>
      </c>
      <c r="M17" s="518">
        <f t="shared" si="13"/>
        <v>0</v>
      </c>
      <c r="N17" s="518">
        <f t="shared" si="14"/>
        <v>0</v>
      </c>
      <c r="O17" s="64"/>
      <c r="P17" s="570">
        <f t="shared" si="15"/>
        <v>0</v>
      </c>
      <c r="Q17" s="570">
        <f t="shared" si="16"/>
        <v>0</v>
      </c>
      <c r="R17" s="570">
        <f t="shared" si="17"/>
        <v>0</v>
      </c>
      <c r="S17" s="570">
        <f t="shared" si="24"/>
        <v>0</v>
      </c>
      <c r="T17" s="553">
        <f t="shared" si="25"/>
        <v>0</v>
      </c>
      <c r="U17" s="1015"/>
      <c r="V17" s="690">
        <f t="shared" si="18"/>
        <v>0</v>
      </c>
      <c r="W17" s="486"/>
      <c r="X17" s="486"/>
      <c r="Y17" s="486"/>
      <c r="Z17" s="486"/>
      <c r="AA17" s="486"/>
      <c r="AB17" s="486"/>
    </row>
    <row r="18" spans="1:28" ht="12.75" customHeight="1" x14ac:dyDescent="0.25">
      <c r="A18" s="534" t="s">
        <v>389</v>
      </c>
      <c r="B18" s="533" t="s">
        <v>6</v>
      </c>
      <c r="C18" s="64">
        <v>0</v>
      </c>
      <c r="D18" s="64"/>
      <c r="E18" s="64"/>
      <c r="F18" s="64"/>
      <c r="G18" s="64"/>
      <c r="H18" s="64"/>
      <c r="I18" s="64"/>
      <c r="J18" s="64"/>
      <c r="K18" s="64"/>
      <c r="L18" s="518">
        <f t="shared" si="12"/>
        <v>0</v>
      </c>
      <c r="M18" s="518">
        <f t="shared" si="13"/>
        <v>0</v>
      </c>
      <c r="N18" s="518">
        <f t="shared" si="14"/>
        <v>0</v>
      </c>
      <c r="O18" s="64"/>
      <c r="P18" s="570">
        <f t="shared" si="15"/>
        <v>0</v>
      </c>
      <c r="Q18" s="570">
        <f t="shared" si="16"/>
        <v>0</v>
      </c>
      <c r="R18" s="570">
        <f t="shared" si="17"/>
        <v>0</v>
      </c>
      <c r="S18" s="570">
        <f t="shared" si="24"/>
        <v>0</v>
      </c>
      <c r="T18" s="553">
        <f t="shared" si="25"/>
        <v>0</v>
      </c>
      <c r="U18" s="1015"/>
      <c r="V18" s="690">
        <f t="shared" si="18"/>
        <v>0</v>
      </c>
      <c r="W18" s="486"/>
      <c r="X18" s="486"/>
      <c r="Y18" s="486"/>
      <c r="Z18" s="486"/>
      <c r="AA18" s="486"/>
      <c r="AB18" s="486"/>
    </row>
    <row r="19" spans="1:28" ht="12.75" customHeight="1" x14ac:dyDescent="0.25">
      <c r="A19" s="527" t="s">
        <v>15</v>
      </c>
      <c r="B19" s="533" t="s">
        <v>7</v>
      </c>
      <c r="C19" s="166">
        <f>5000*12*5</f>
        <v>300000</v>
      </c>
      <c r="D19" s="64">
        <v>300000</v>
      </c>
      <c r="E19" s="64">
        <v>300000</v>
      </c>
      <c r="F19" s="64">
        <v>645000</v>
      </c>
      <c r="G19" s="64"/>
      <c r="H19" s="64">
        <v>150000</v>
      </c>
      <c r="I19" s="64">
        <v>300000</v>
      </c>
      <c r="J19" s="64">
        <v>645000</v>
      </c>
      <c r="K19" s="64"/>
      <c r="L19" s="518">
        <f t="shared" si="12"/>
        <v>0.5</v>
      </c>
      <c r="M19" s="518">
        <f t="shared" si="13"/>
        <v>1</v>
      </c>
      <c r="N19" s="518">
        <f t="shared" si="14"/>
        <v>2.15</v>
      </c>
      <c r="O19" s="64"/>
      <c r="P19" s="570">
        <f t="shared" si="15"/>
        <v>0</v>
      </c>
      <c r="Q19" s="570">
        <f t="shared" si="16"/>
        <v>0</v>
      </c>
      <c r="R19" s="570">
        <f t="shared" si="17"/>
        <v>345000</v>
      </c>
      <c r="S19" s="570">
        <f t="shared" si="24"/>
        <v>345000</v>
      </c>
      <c r="T19" s="553">
        <f t="shared" si="25"/>
        <v>1.1499999999999999</v>
      </c>
      <c r="U19" s="1015"/>
      <c r="V19" s="690">
        <f t="shared" si="18"/>
        <v>0</v>
      </c>
      <c r="W19" s="486"/>
      <c r="X19" s="486"/>
      <c r="Y19" s="486"/>
      <c r="Z19" s="486"/>
      <c r="AA19" s="486"/>
      <c r="AB19" s="486"/>
    </row>
    <row r="20" spans="1:28" ht="12.75" customHeight="1" x14ac:dyDescent="0.25">
      <c r="A20" s="527" t="s">
        <v>16</v>
      </c>
      <c r="B20" s="533" t="s">
        <v>8</v>
      </c>
      <c r="C20" s="64"/>
      <c r="D20" s="64"/>
      <c r="E20" s="64"/>
      <c r="F20" s="64"/>
      <c r="G20" s="64"/>
      <c r="H20" s="64"/>
      <c r="I20" s="64"/>
      <c r="J20" s="64"/>
      <c r="K20" s="64"/>
      <c r="L20" s="518">
        <f t="shared" si="12"/>
        <v>0</v>
      </c>
      <c r="M20" s="518">
        <f t="shared" si="13"/>
        <v>0</v>
      </c>
      <c r="N20" s="518">
        <f t="shared" si="14"/>
        <v>0</v>
      </c>
      <c r="O20" s="64"/>
      <c r="P20" s="570">
        <f t="shared" si="15"/>
        <v>0</v>
      </c>
      <c r="Q20" s="570">
        <f t="shared" si="16"/>
        <v>0</v>
      </c>
      <c r="R20" s="570">
        <f t="shared" si="17"/>
        <v>0</v>
      </c>
      <c r="S20" s="570">
        <f t="shared" si="24"/>
        <v>0</v>
      </c>
      <c r="T20" s="553">
        <f t="shared" si="25"/>
        <v>0</v>
      </c>
      <c r="U20" s="1015"/>
      <c r="V20" s="690">
        <f t="shared" si="18"/>
        <v>0</v>
      </c>
      <c r="W20" s="486"/>
      <c r="X20" s="486"/>
      <c r="Y20" s="486"/>
      <c r="Z20" s="486"/>
      <c r="AA20" s="486"/>
      <c r="AB20" s="486"/>
    </row>
    <row r="21" spans="1:28" ht="12.75" customHeight="1" x14ac:dyDescent="0.25">
      <c r="A21" s="527" t="s">
        <v>17</v>
      </c>
      <c r="B21" s="533" t="s">
        <v>9</v>
      </c>
      <c r="C21" s="64">
        <f>12200*12</f>
        <v>146400</v>
      </c>
      <c r="D21" s="64">
        <v>146400</v>
      </c>
      <c r="E21" s="64">
        <v>146400</v>
      </c>
      <c r="F21" s="64">
        <v>146400</v>
      </c>
      <c r="G21" s="64"/>
      <c r="H21" s="64">
        <v>61050</v>
      </c>
      <c r="I21" s="64">
        <v>85470</v>
      </c>
      <c r="J21" s="64">
        <v>134310</v>
      </c>
      <c r="K21" s="64"/>
      <c r="L21" s="518">
        <f t="shared" si="12"/>
        <v>0.41700819672131145</v>
      </c>
      <c r="M21" s="518">
        <f t="shared" si="13"/>
        <v>0.58381147540983602</v>
      </c>
      <c r="N21" s="518">
        <f t="shared" si="14"/>
        <v>0.91741803278688527</v>
      </c>
      <c r="O21" s="64"/>
      <c r="P21" s="570">
        <f t="shared" si="15"/>
        <v>0</v>
      </c>
      <c r="Q21" s="570">
        <f t="shared" si="16"/>
        <v>0</v>
      </c>
      <c r="R21" s="570">
        <f t="shared" si="17"/>
        <v>0</v>
      </c>
      <c r="S21" s="570">
        <f t="shared" si="24"/>
        <v>0</v>
      </c>
      <c r="T21" s="553">
        <f t="shared" si="25"/>
        <v>0</v>
      </c>
      <c r="U21" s="1015"/>
      <c r="V21" s="690">
        <f t="shared" si="18"/>
        <v>0</v>
      </c>
      <c r="W21" s="486"/>
      <c r="X21" s="486"/>
      <c r="Y21" s="486"/>
      <c r="Z21" s="486"/>
      <c r="AA21" s="486"/>
      <c r="AB21" s="486"/>
    </row>
    <row r="22" spans="1:28" ht="12.75" customHeight="1" x14ac:dyDescent="0.25">
      <c r="A22" s="527" t="s">
        <v>18</v>
      </c>
      <c r="B22" s="533" t="s">
        <v>10</v>
      </c>
      <c r="C22" s="64"/>
      <c r="D22" s="64"/>
      <c r="E22" s="64"/>
      <c r="F22" s="64"/>
      <c r="G22" s="64"/>
      <c r="H22" s="64"/>
      <c r="I22" s="64"/>
      <c r="J22" s="64"/>
      <c r="K22" s="64"/>
      <c r="L22" s="518">
        <f t="shared" si="12"/>
        <v>0</v>
      </c>
      <c r="M22" s="518">
        <f t="shared" si="13"/>
        <v>0</v>
      </c>
      <c r="N22" s="518">
        <f t="shared" si="14"/>
        <v>0</v>
      </c>
      <c r="O22" s="64"/>
      <c r="P22" s="570">
        <f t="shared" si="15"/>
        <v>0</v>
      </c>
      <c r="Q22" s="570">
        <f t="shared" si="16"/>
        <v>0</v>
      </c>
      <c r="R22" s="570">
        <f t="shared" si="17"/>
        <v>0</v>
      </c>
      <c r="S22" s="570">
        <f t="shared" si="24"/>
        <v>0</v>
      </c>
      <c r="T22" s="553">
        <f t="shared" si="25"/>
        <v>0</v>
      </c>
      <c r="U22" s="1015"/>
      <c r="V22" s="690">
        <f t="shared" si="18"/>
        <v>0</v>
      </c>
      <c r="W22" s="486"/>
      <c r="X22" s="486"/>
      <c r="Y22" s="486"/>
      <c r="Z22" s="486"/>
      <c r="AA22" s="486"/>
      <c r="AB22" s="486"/>
    </row>
    <row r="23" spans="1:28" ht="12.75" customHeight="1" x14ac:dyDescent="0.25">
      <c r="A23" s="527" t="s">
        <v>19</v>
      </c>
      <c r="B23" s="533" t="s">
        <v>11</v>
      </c>
      <c r="C23" s="64">
        <v>0</v>
      </c>
      <c r="D23" s="64">
        <v>100000</v>
      </c>
      <c r="E23" s="64">
        <v>201832</v>
      </c>
      <c r="F23" s="64">
        <v>205432</v>
      </c>
      <c r="G23" s="64"/>
      <c r="H23" s="64">
        <v>12700</v>
      </c>
      <c r="I23" s="64">
        <v>201832</v>
      </c>
      <c r="J23" s="64">
        <v>205432</v>
      </c>
      <c r="K23" s="64"/>
      <c r="L23" s="518">
        <f t="shared" si="12"/>
        <v>0</v>
      </c>
      <c r="M23" s="518">
        <f t="shared" si="13"/>
        <v>2.0183200000000001</v>
      </c>
      <c r="N23" s="518">
        <f t="shared" si="14"/>
        <v>1.0178366165920172</v>
      </c>
      <c r="O23" s="64"/>
      <c r="P23" s="570">
        <f t="shared" ref="P23:P67" si="26">+(D23-C23)*P$10</f>
        <v>100000</v>
      </c>
      <c r="Q23" s="570">
        <f t="shared" ref="Q23:Q67" si="27">+(E23-D23)*Q$10</f>
        <v>101832</v>
      </c>
      <c r="R23" s="570">
        <f t="shared" ref="R23:R67" si="28">+(F23-E23)*R$10</f>
        <v>3600</v>
      </c>
      <c r="S23" s="570">
        <f t="shared" ref="S23" si="29">SUM(P23:R23)</f>
        <v>205432</v>
      </c>
      <c r="T23" s="553">
        <f t="shared" si="25"/>
        <v>0</v>
      </c>
      <c r="U23" s="1015"/>
      <c r="V23" s="690">
        <f t="shared" si="18"/>
        <v>0</v>
      </c>
      <c r="W23" s="486"/>
      <c r="X23" s="486"/>
      <c r="Y23" s="486"/>
      <c r="Z23" s="486"/>
      <c r="AA23" s="486"/>
      <c r="AB23" s="486"/>
    </row>
    <row r="24" spans="1:28" ht="12.75" customHeight="1" x14ac:dyDescent="0.25">
      <c r="A24" s="527" t="s">
        <v>20</v>
      </c>
      <c r="B24" s="533"/>
      <c r="C24" s="64"/>
      <c r="D24" s="64"/>
      <c r="E24" s="64"/>
      <c r="F24" s="64"/>
      <c r="G24" s="64"/>
      <c r="H24" s="64"/>
      <c r="I24" s="64"/>
      <c r="J24" s="64"/>
      <c r="K24" s="64"/>
      <c r="L24" s="518">
        <f t="shared" si="12"/>
        <v>0</v>
      </c>
      <c r="M24" s="518">
        <f t="shared" si="13"/>
        <v>0</v>
      </c>
      <c r="N24" s="518">
        <f t="shared" si="14"/>
        <v>0</v>
      </c>
      <c r="O24" s="64"/>
      <c r="P24" s="570">
        <f t="shared" si="26"/>
        <v>0</v>
      </c>
      <c r="Q24" s="570">
        <f t="shared" si="27"/>
        <v>0</v>
      </c>
      <c r="R24" s="570">
        <f t="shared" si="28"/>
        <v>0</v>
      </c>
      <c r="S24" s="570">
        <f t="shared" ref="S24:S95" si="30">SUM(P24:R24)</f>
        <v>0</v>
      </c>
      <c r="T24" s="553">
        <f t="shared" si="25"/>
        <v>0</v>
      </c>
      <c r="U24" s="1015"/>
      <c r="V24" s="690">
        <f t="shared" si="18"/>
        <v>0</v>
      </c>
      <c r="W24" s="486"/>
      <c r="X24" s="486"/>
      <c r="Y24" s="486"/>
      <c r="Z24" s="486"/>
      <c r="AA24" s="486"/>
      <c r="AB24" s="486"/>
    </row>
    <row r="25" spans="1:28" ht="12.75" customHeight="1" x14ac:dyDescent="0.25">
      <c r="A25" s="527" t="s">
        <v>21</v>
      </c>
      <c r="B25" s="530" t="s">
        <v>474</v>
      </c>
      <c r="C25" s="64"/>
      <c r="D25" s="64"/>
      <c r="E25" s="64"/>
      <c r="F25" s="64"/>
      <c r="G25" s="64"/>
      <c r="H25" s="64"/>
      <c r="I25" s="64"/>
      <c r="J25" s="64"/>
      <c r="K25" s="64"/>
      <c r="L25" s="518">
        <f t="shared" si="12"/>
        <v>0</v>
      </c>
      <c r="M25" s="518">
        <f t="shared" si="13"/>
        <v>0</v>
      </c>
      <c r="N25" s="518">
        <f t="shared" si="14"/>
        <v>0</v>
      </c>
      <c r="O25" s="64"/>
      <c r="P25" s="570">
        <f t="shared" si="26"/>
        <v>0</v>
      </c>
      <c r="Q25" s="570">
        <f t="shared" si="27"/>
        <v>0</v>
      </c>
      <c r="R25" s="570">
        <f t="shared" si="28"/>
        <v>0</v>
      </c>
      <c r="S25" s="570">
        <f t="shared" si="30"/>
        <v>0</v>
      </c>
      <c r="T25" s="553">
        <f t="shared" si="25"/>
        <v>0</v>
      </c>
      <c r="U25" s="1015"/>
      <c r="V25" s="690">
        <f t="shared" si="18"/>
        <v>0</v>
      </c>
      <c r="W25" s="486"/>
      <c r="X25" s="486"/>
      <c r="Y25" s="486"/>
      <c r="Z25" s="486"/>
      <c r="AA25" s="486"/>
      <c r="AB25" s="486"/>
    </row>
    <row r="26" spans="1:28" ht="12.75" customHeight="1" x14ac:dyDescent="0.25">
      <c r="A26" s="527" t="s">
        <v>23</v>
      </c>
      <c r="B26" s="533" t="s">
        <v>24</v>
      </c>
      <c r="C26" s="64"/>
      <c r="D26" s="64"/>
      <c r="E26" s="64"/>
      <c r="F26" s="64"/>
      <c r="G26" s="64"/>
      <c r="H26" s="64"/>
      <c r="I26" s="64"/>
      <c r="J26" s="64"/>
      <c r="K26" s="64"/>
      <c r="L26" s="518">
        <f t="shared" si="12"/>
        <v>0</v>
      </c>
      <c r="M26" s="518">
        <f t="shared" si="13"/>
        <v>0</v>
      </c>
      <c r="N26" s="518">
        <f t="shared" si="14"/>
        <v>0</v>
      </c>
      <c r="O26" s="64"/>
      <c r="P26" s="570">
        <f t="shared" si="26"/>
        <v>0</v>
      </c>
      <c r="Q26" s="570">
        <f t="shared" si="27"/>
        <v>0</v>
      </c>
      <c r="R26" s="570">
        <f t="shared" si="28"/>
        <v>0</v>
      </c>
      <c r="S26" s="570">
        <f t="shared" si="30"/>
        <v>0</v>
      </c>
      <c r="T26" s="553">
        <f t="shared" si="25"/>
        <v>0</v>
      </c>
      <c r="U26" s="1015"/>
      <c r="V26" s="690">
        <f t="shared" si="18"/>
        <v>0</v>
      </c>
      <c r="W26" s="486"/>
      <c r="X26" s="486"/>
      <c r="Y26" s="486"/>
      <c r="Z26" s="486"/>
      <c r="AA26" s="486"/>
      <c r="AB26" s="486"/>
    </row>
    <row r="27" spans="1:28" ht="12.75" customHeight="1" x14ac:dyDescent="0.25">
      <c r="A27" s="527" t="s">
        <v>25</v>
      </c>
      <c r="B27" s="533" t="s">
        <v>26</v>
      </c>
      <c r="C27" s="64"/>
      <c r="D27" s="64">
        <v>0</v>
      </c>
      <c r="E27" s="64">
        <v>353676</v>
      </c>
      <c r="F27" s="64">
        <v>353676</v>
      </c>
      <c r="G27" s="64"/>
      <c r="H27" s="64">
        <v>0</v>
      </c>
      <c r="I27" s="64">
        <v>186200</v>
      </c>
      <c r="J27" s="64">
        <v>321786</v>
      </c>
      <c r="K27" s="64"/>
      <c r="L27" s="518">
        <f t="shared" si="12"/>
        <v>0</v>
      </c>
      <c r="M27" s="518">
        <f t="shared" si="13"/>
        <v>0</v>
      </c>
      <c r="N27" s="518">
        <f t="shared" si="14"/>
        <v>0.90983272825976313</v>
      </c>
      <c r="O27" s="64"/>
      <c r="P27" s="570">
        <f t="shared" si="26"/>
        <v>0</v>
      </c>
      <c r="Q27" s="570">
        <f t="shared" si="27"/>
        <v>353676</v>
      </c>
      <c r="R27" s="570">
        <f t="shared" si="28"/>
        <v>0</v>
      </c>
      <c r="S27" s="570">
        <f t="shared" si="30"/>
        <v>353676</v>
      </c>
      <c r="T27" s="553">
        <f t="shared" si="25"/>
        <v>0</v>
      </c>
      <c r="U27" s="1015"/>
      <c r="V27" s="690">
        <f t="shared" si="18"/>
        <v>0</v>
      </c>
      <c r="W27" s="486"/>
      <c r="X27" s="486"/>
      <c r="Y27" s="486"/>
      <c r="Z27" s="486"/>
      <c r="AA27" s="486"/>
      <c r="AB27" s="486"/>
    </row>
    <row r="28" spans="1:28" ht="12.75" customHeight="1" x14ac:dyDescent="0.25">
      <c r="A28" s="527"/>
      <c r="B28" s="527"/>
      <c r="C28" s="64"/>
      <c r="D28" s="64"/>
      <c r="E28" s="64"/>
      <c r="F28" s="64"/>
      <c r="G28" s="64"/>
      <c r="H28" s="64"/>
      <c r="I28" s="64"/>
      <c r="J28" s="64"/>
      <c r="K28" s="64"/>
      <c r="L28" s="546">
        <f t="shared" si="12"/>
        <v>0</v>
      </c>
      <c r="M28" s="546">
        <f t="shared" si="13"/>
        <v>0</v>
      </c>
      <c r="N28" s="546">
        <f t="shared" si="14"/>
        <v>0</v>
      </c>
      <c r="O28" s="64"/>
      <c r="P28" s="570">
        <f t="shared" si="26"/>
        <v>0</v>
      </c>
      <c r="Q28" s="570">
        <f t="shared" si="27"/>
        <v>0</v>
      </c>
      <c r="R28" s="570">
        <f t="shared" si="28"/>
        <v>0</v>
      </c>
      <c r="S28" s="570">
        <f t="shared" si="30"/>
        <v>0</v>
      </c>
      <c r="T28" s="553">
        <f t="shared" si="25"/>
        <v>0</v>
      </c>
      <c r="U28" s="1015"/>
      <c r="V28" s="690">
        <f t="shared" si="18"/>
        <v>0</v>
      </c>
      <c r="W28" s="486"/>
      <c r="X28" s="486"/>
      <c r="Y28" s="486"/>
      <c r="Z28" s="486"/>
      <c r="AA28" s="486"/>
      <c r="AB28" s="486"/>
    </row>
    <row r="29" spans="1:28" ht="12.75" customHeight="1" x14ac:dyDescent="0.25">
      <c r="A29" s="720" t="s">
        <v>27</v>
      </c>
      <c r="B29" s="149" t="s">
        <v>28</v>
      </c>
      <c r="C29" s="128">
        <f>SUM(C30:C31)</f>
        <v>3000000</v>
      </c>
      <c r="D29" s="128">
        <f t="shared" ref="D29:J29" si="31">SUM(D30:D31)</f>
        <v>3000000</v>
      </c>
      <c r="E29" s="128">
        <f t="shared" si="31"/>
        <v>3000000</v>
      </c>
      <c r="F29" s="128">
        <f t="shared" si="31"/>
        <v>3038079</v>
      </c>
      <c r="G29" s="128"/>
      <c r="H29" s="128">
        <f t="shared" si="31"/>
        <v>1585885</v>
      </c>
      <c r="I29" s="128">
        <f t="shared" si="31"/>
        <v>2473491</v>
      </c>
      <c r="J29" s="128">
        <f t="shared" si="31"/>
        <v>3038079</v>
      </c>
      <c r="K29" s="128"/>
      <c r="L29" s="514">
        <f t="shared" si="12"/>
        <v>0.52862833333333337</v>
      </c>
      <c r="M29" s="514">
        <f t="shared" si="13"/>
        <v>0.82449700000000004</v>
      </c>
      <c r="N29" s="514">
        <f t="shared" si="14"/>
        <v>1.0126930000000001</v>
      </c>
      <c r="O29" s="128"/>
      <c r="P29" s="128">
        <f t="shared" si="26"/>
        <v>0</v>
      </c>
      <c r="Q29" s="128">
        <f t="shared" si="27"/>
        <v>0</v>
      </c>
      <c r="R29" s="128">
        <f t="shared" si="28"/>
        <v>38079</v>
      </c>
      <c r="S29" s="128">
        <f t="shared" si="30"/>
        <v>38079</v>
      </c>
      <c r="T29" s="553">
        <f t="shared" si="25"/>
        <v>1.2692999999999999E-2</v>
      </c>
      <c r="U29" s="1015"/>
      <c r="V29" s="690">
        <f t="shared" si="18"/>
        <v>0</v>
      </c>
      <c r="W29" s="486"/>
      <c r="X29" s="486"/>
      <c r="Y29" s="486"/>
      <c r="Z29" s="486"/>
      <c r="AA29" s="486"/>
      <c r="AB29" s="486"/>
    </row>
    <row r="30" spans="1:28" ht="12.75" customHeight="1" x14ac:dyDescent="0.25">
      <c r="A30" s="527"/>
      <c r="B30" s="533" t="s">
        <v>29</v>
      </c>
      <c r="C30" s="64">
        <v>3000000</v>
      </c>
      <c r="D30" s="64">
        <v>3000000</v>
      </c>
      <c r="E30" s="64">
        <v>3000000</v>
      </c>
      <c r="F30" s="64">
        <v>3038079</v>
      </c>
      <c r="G30" s="64"/>
      <c r="H30" s="64">
        <v>1585885</v>
      </c>
      <c r="I30" s="64">
        <v>2473491</v>
      </c>
      <c r="J30" s="64">
        <v>3038079</v>
      </c>
      <c r="K30" s="64"/>
      <c r="L30" s="518">
        <f t="shared" si="12"/>
        <v>0.52862833333333337</v>
      </c>
      <c r="M30" s="518">
        <f t="shared" si="13"/>
        <v>0.82449700000000004</v>
      </c>
      <c r="N30" s="518">
        <f t="shared" si="14"/>
        <v>1.0126930000000001</v>
      </c>
      <c r="O30" s="64"/>
      <c r="P30" s="570">
        <f t="shared" si="26"/>
        <v>0</v>
      </c>
      <c r="Q30" s="570">
        <f t="shared" si="27"/>
        <v>0</v>
      </c>
      <c r="R30" s="570">
        <f t="shared" si="28"/>
        <v>38079</v>
      </c>
      <c r="S30" s="570">
        <f t="shared" si="30"/>
        <v>38079</v>
      </c>
      <c r="T30" s="553">
        <f t="shared" si="25"/>
        <v>1.2692999999999999E-2</v>
      </c>
      <c r="U30" s="1015"/>
      <c r="V30" s="690">
        <f t="shared" si="18"/>
        <v>0</v>
      </c>
      <c r="W30" s="486"/>
      <c r="X30" s="486"/>
      <c r="Y30" s="486"/>
      <c r="Z30" s="486"/>
      <c r="AA30" s="486"/>
      <c r="AB30" s="486"/>
    </row>
    <row r="31" spans="1:28" ht="12.75" customHeight="1" x14ac:dyDescent="0.25">
      <c r="A31" s="527"/>
      <c r="B31" s="527"/>
      <c r="C31" s="64"/>
      <c r="D31" s="64"/>
      <c r="E31" s="64"/>
      <c r="F31" s="64"/>
      <c r="G31" s="64"/>
      <c r="H31" s="64"/>
      <c r="I31" s="64"/>
      <c r="J31" s="64"/>
      <c r="K31" s="64"/>
      <c r="L31" s="546">
        <f t="shared" si="12"/>
        <v>0</v>
      </c>
      <c r="M31" s="546">
        <f t="shared" si="13"/>
        <v>0</v>
      </c>
      <c r="N31" s="546">
        <f t="shared" si="14"/>
        <v>0</v>
      </c>
      <c r="O31" s="64"/>
      <c r="P31" s="570">
        <f t="shared" si="26"/>
        <v>0</v>
      </c>
      <c r="Q31" s="570">
        <f t="shared" si="27"/>
        <v>0</v>
      </c>
      <c r="R31" s="570">
        <f t="shared" si="28"/>
        <v>0</v>
      </c>
      <c r="S31" s="570">
        <f t="shared" si="30"/>
        <v>0</v>
      </c>
      <c r="T31" s="553">
        <f t="shared" si="25"/>
        <v>0</v>
      </c>
      <c r="U31" s="1015"/>
      <c r="V31" s="690">
        <f t="shared" si="18"/>
        <v>0</v>
      </c>
      <c r="W31" s="486"/>
      <c r="X31" s="486"/>
      <c r="Y31" s="486"/>
      <c r="Z31" s="486"/>
      <c r="AA31" s="486"/>
      <c r="AB31" s="486"/>
    </row>
    <row r="32" spans="1:28" ht="12.75" customHeight="1" x14ac:dyDescent="0.25">
      <c r="A32" s="720" t="s">
        <v>30</v>
      </c>
      <c r="B32" s="149" t="s">
        <v>31</v>
      </c>
      <c r="C32" s="128">
        <f>+C33+C48+C41+C66+C71</f>
        <v>14315000</v>
      </c>
      <c r="D32" s="128">
        <f>+D33+D48+D41+D66+D71</f>
        <v>14315000</v>
      </c>
      <c r="E32" s="128">
        <f>+E33+E41+E48+E66+E71</f>
        <v>14128800</v>
      </c>
      <c r="F32" s="128">
        <f>+F33+F41+F48+F66+F71</f>
        <v>10323466</v>
      </c>
      <c r="G32" s="128"/>
      <c r="H32" s="128">
        <f t="shared" ref="H32" si="32">+H33+H48+H66+H71</f>
        <v>5269280</v>
      </c>
      <c r="I32" s="128">
        <f>+I33+I41+I48+I66+I71</f>
        <v>7723776</v>
      </c>
      <c r="J32" s="128">
        <f>+J33+J41+J48+J66+J71</f>
        <v>9994116</v>
      </c>
      <c r="K32" s="128"/>
      <c r="L32" s="514">
        <f t="shared" si="12"/>
        <v>0.36809500523925953</v>
      </c>
      <c r="M32" s="514">
        <f t="shared" si="13"/>
        <v>0.53955822563744327</v>
      </c>
      <c r="N32" s="514">
        <f t="shared" si="14"/>
        <v>0.70735773738746388</v>
      </c>
      <c r="O32" s="128"/>
      <c r="P32" s="128">
        <f t="shared" si="26"/>
        <v>0</v>
      </c>
      <c r="Q32" s="128">
        <f t="shared" si="27"/>
        <v>-186200</v>
      </c>
      <c r="R32" s="128">
        <f t="shared" si="28"/>
        <v>-3805334</v>
      </c>
      <c r="S32" s="128">
        <f t="shared" si="30"/>
        <v>-3991534</v>
      </c>
      <c r="T32" s="553">
        <f t="shared" si="25"/>
        <v>-0.27883576667830945</v>
      </c>
      <c r="U32" s="1015"/>
      <c r="V32" s="690">
        <f t="shared" si="18"/>
        <v>0</v>
      </c>
      <c r="W32" s="486"/>
      <c r="X32" s="486"/>
      <c r="Y32" s="486"/>
      <c r="Z32" s="486"/>
      <c r="AA32" s="486"/>
      <c r="AB32" s="486"/>
    </row>
    <row r="33" spans="1:28" ht="12.75" customHeight="1" x14ac:dyDescent="0.25">
      <c r="A33" s="515" t="s">
        <v>32</v>
      </c>
      <c r="B33" s="516" t="s">
        <v>33</v>
      </c>
      <c r="C33" s="167">
        <f>SUM(C34:C40)</f>
        <v>3100000</v>
      </c>
      <c r="D33" s="167">
        <f t="shared" ref="D33:J33" si="33">SUM(D34:D40)</f>
        <v>3100000</v>
      </c>
      <c r="E33" s="167">
        <f t="shared" si="33"/>
        <v>3600000</v>
      </c>
      <c r="F33" s="167">
        <f t="shared" si="33"/>
        <v>3151583</v>
      </c>
      <c r="G33" s="167"/>
      <c r="H33" s="167">
        <f t="shared" si="33"/>
        <v>1250001</v>
      </c>
      <c r="I33" s="167">
        <f t="shared" si="33"/>
        <v>2084281</v>
      </c>
      <c r="J33" s="167">
        <f t="shared" si="33"/>
        <v>3151583</v>
      </c>
      <c r="K33" s="64"/>
      <c r="L33" s="546">
        <f t="shared" si="12"/>
        <v>0.40322612903225807</v>
      </c>
      <c r="M33" s="546">
        <f t="shared" si="13"/>
        <v>0.67234870967741933</v>
      </c>
      <c r="N33" s="546">
        <f t="shared" si="14"/>
        <v>0.87543972222222222</v>
      </c>
      <c r="O33" s="64"/>
      <c r="P33" s="64">
        <f t="shared" si="26"/>
        <v>0</v>
      </c>
      <c r="Q33" s="64">
        <f t="shared" si="27"/>
        <v>500000</v>
      </c>
      <c r="R33" s="64">
        <f t="shared" si="28"/>
        <v>-448417</v>
      </c>
      <c r="S33" s="64">
        <f t="shared" si="30"/>
        <v>51583</v>
      </c>
      <c r="T33" s="553">
        <f t="shared" si="25"/>
        <v>1.6639677419354838E-2</v>
      </c>
      <c r="U33" s="1015"/>
      <c r="V33" s="690">
        <f t="shared" si="18"/>
        <v>0</v>
      </c>
      <c r="W33" s="486"/>
      <c r="X33" s="486"/>
      <c r="Y33" s="486"/>
      <c r="Z33" s="486"/>
      <c r="AA33" s="486"/>
      <c r="AB33" s="486"/>
    </row>
    <row r="34" spans="1:28" ht="12.75" customHeight="1" x14ac:dyDescent="0.25">
      <c r="A34" s="527" t="s">
        <v>34</v>
      </c>
      <c r="B34" s="533" t="s">
        <v>36</v>
      </c>
      <c r="C34" s="64">
        <v>1000000</v>
      </c>
      <c r="D34" s="64">
        <v>1000000</v>
      </c>
      <c r="E34" s="64">
        <v>1000000</v>
      </c>
      <c r="F34" s="64">
        <v>922276</v>
      </c>
      <c r="G34" s="64"/>
      <c r="H34" s="64">
        <v>217379</v>
      </c>
      <c r="I34" s="64">
        <v>726879</v>
      </c>
      <c r="J34" s="64">
        <v>922276</v>
      </c>
      <c r="K34" s="64"/>
      <c r="L34" s="518">
        <f t="shared" si="12"/>
        <v>0.21737899999999999</v>
      </c>
      <c r="M34" s="518">
        <f t="shared" si="13"/>
        <v>0.72687900000000005</v>
      </c>
      <c r="N34" s="518">
        <f t="shared" si="14"/>
        <v>0.92227599999999998</v>
      </c>
      <c r="O34" s="64"/>
      <c r="P34" s="570">
        <f t="shared" si="26"/>
        <v>0</v>
      </c>
      <c r="Q34" s="570">
        <f t="shared" si="27"/>
        <v>0</v>
      </c>
      <c r="R34" s="570">
        <f t="shared" si="28"/>
        <v>-77724</v>
      </c>
      <c r="S34" s="570">
        <f t="shared" si="30"/>
        <v>-77724</v>
      </c>
      <c r="T34" s="553">
        <f t="shared" si="25"/>
        <v>-7.7724000000000001E-2</v>
      </c>
      <c r="U34" s="1015"/>
      <c r="V34" s="690">
        <f t="shared" si="18"/>
        <v>0</v>
      </c>
      <c r="W34" s="486"/>
      <c r="X34" s="486"/>
      <c r="Y34" s="486"/>
      <c r="Z34" s="486"/>
      <c r="AA34" s="486"/>
      <c r="AB34" s="486"/>
    </row>
    <row r="35" spans="1:28" ht="15.75" customHeight="1" x14ac:dyDescent="0.25">
      <c r="A35" s="527"/>
      <c r="B35" s="533" t="s">
        <v>90</v>
      </c>
      <c r="C35" s="64"/>
      <c r="D35" s="64"/>
      <c r="E35" s="64"/>
      <c r="F35" s="64"/>
      <c r="G35" s="64"/>
      <c r="H35" s="64"/>
      <c r="I35" s="64"/>
      <c r="J35" s="64"/>
      <c r="K35" s="64"/>
      <c r="L35" s="518">
        <f t="shared" si="12"/>
        <v>0</v>
      </c>
      <c r="M35" s="518">
        <f t="shared" si="13"/>
        <v>0</v>
      </c>
      <c r="N35" s="518">
        <f t="shared" si="14"/>
        <v>0</v>
      </c>
      <c r="O35" s="64"/>
      <c r="P35" s="64">
        <f t="shared" si="26"/>
        <v>0</v>
      </c>
      <c r="Q35" s="64">
        <f t="shared" si="27"/>
        <v>0</v>
      </c>
      <c r="R35" s="64">
        <f t="shared" si="28"/>
        <v>0</v>
      </c>
      <c r="S35" s="64">
        <f t="shared" si="30"/>
        <v>0</v>
      </c>
      <c r="T35" s="553">
        <f t="shared" si="25"/>
        <v>0</v>
      </c>
      <c r="U35" s="1015"/>
      <c r="V35" s="690">
        <f t="shared" si="18"/>
        <v>0</v>
      </c>
      <c r="W35" s="486"/>
      <c r="X35" s="486"/>
      <c r="Y35" s="486"/>
      <c r="Z35" s="486"/>
      <c r="AA35" s="486"/>
      <c r="AB35" s="486"/>
    </row>
    <row r="36" spans="1:28" ht="12.75" customHeight="1" x14ac:dyDescent="0.25">
      <c r="A36" s="527" t="s">
        <v>35</v>
      </c>
      <c r="B36" s="533" t="s">
        <v>37</v>
      </c>
      <c r="C36" s="169">
        <v>2100000</v>
      </c>
      <c r="D36" s="64">
        <v>2100000</v>
      </c>
      <c r="E36" s="64">
        <v>2600000</v>
      </c>
      <c r="F36" s="64">
        <v>2229307</v>
      </c>
      <c r="G36" s="64"/>
      <c r="H36" s="64">
        <v>1032622</v>
      </c>
      <c r="I36" s="64">
        <v>1357402</v>
      </c>
      <c r="J36" s="64">
        <v>2229307</v>
      </c>
      <c r="K36" s="64"/>
      <c r="L36" s="518">
        <f t="shared" si="12"/>
        <v>0.49172476190476189</v>
      </c>
      <c r="M36" s="518">
        <f t="shared" si="13"/>
        <v>0.64638190476190471</v>
      </c>
      <c r="N36" s="518">
        <f t="shared" si="14"/>
        <v>0.85742576923076919</v>
      </c>
      <c r="O36" s="64"/>
      <c r="P36" s="570">
        <f t="shared" si="26"/>
        <v>0</v>
      </c>
      <c r="Q36" s="570">
        <f t="shared" si="27"/>
        <v>500000</v>
      </c>
      <c r="R36" s="570">
        <f t="shared" si="28"/>
        <v>-370693</v>
      </c>
      <c r="S36" s="570">
        <f t="shared" si="30"/>
        <v>129307</v>
      </c>
      <c r="T36" s="553">
        <f t="shared" si="25"/>
        <v>6.1574761904761903E-2</v>
      </c>
      <c r="U36" s="1015"/>
      <c r="V36" s="690">
        <f t="shared" si="18"/>
        <v>0</v>
      </c>
      <c r="W36" s="486"/>
      <c r="X36" s="486"/>
      <c r="Y36" s="486"/>
      <c r="Z36" s="486"/>
      <c r="AA36" s="486"/>
      <c r="AB36" s="486"/>
    </row>
    <row r="37" spans="1:28" ht="12.75" customHeight="1" x14ac:dyDescent="0.25">
      <c r="A37" s="527"/>
      <c r="B37" s="533" t="s">
        <v>106</v>
      </c>
      <c r="C37" s="64"/>
      <c r="D37" s="64"/>
      <c r="E37" s="64"/>
      <c r="F37" s="64"/>
      <c r="G37" s="64"/>
      <c r="H37" s="64"/>
      <c r="I37" s="64"/>
      <c r="J37" s="64"/>
      <c r="K37" s="64"/>
      <c r="L37" s="518">
        <f t="shared" si="12"/>
        <v>0</v>
      </c>
      <c r="M37" s="518">
        <f t="shared" si="13"/>
        <v>0</v>
      </c>
      <c r="N37" s="518">
        <f t="shared" si="14"/>
        <v>0</v>
      </c>
      <c r="O37" s="64"/>
      <c r="P37" s="64">
        <f t="shared" si="26"/>
        <v>0</v>
      </c>
      <c r="Q37" s="64">
        <f t="shared" si="27"/>
        <v>0</v>
      </c>
      <c r="R37" s="64">
        <f t="shared" si="28"/>
        <v>0</v>
      </c>
      <c r="S37" s="64">
        <f t="shared" si="30"/>
        <v>0</v>
      </c>
      <c r="T37" s="553">
        <f t="shared" si="25"/>
        <v>0</v>
      </c>
      <c r="U37" s="1015"/>
      <c r="V37" s="690">
        <f t="shared" si="18"/>
        <v>0</v>
      </c>
      <c r="W37" s="486"/>
      <c r="X37" s="486"/>
      <c r="Y37" s="486"/>
      <c r="Z37" s="486"/>
      <c r="AA37" s="486"/>
      <c r="AB37" s="486"/>
    </row>
    <row r="38" spans="1:28" ht="12.75" customHeight="1" x14ac:dyDescent="0.25">
      <c r="A38" s="527"/>
      <c r="B38" s="533" t="s">
        <v>96</v>
      </c>
      <c r="C38" s="64"/>
      <c r="D38" s="64"/>
      <c r="E38" s="64"/>
      <c r="F38" s="64"/>
      <c r="G38" s="64"/>
      <c r="H38" s="64"/>
      <c r="I38" s="64"/>
      <c r="J38" s="64"/>
      <c r="K38" s="64"/>
      <c r="L38" s="518">
        <f t="shared" si="12"/>
        <v>0</v>
      </c>
      <c r="M38" s="518">
        <f t="shared" si="13"/>
        <v>0</v>
      </c>
      <c r="N38" s="518">
        <f t="shared" si="14"/>
        <v>0</v>
      </c>
      <c r="O38" s="64"/>
      <c r="P38" s="64">
        <f t="shared" si="26"/>
        <v>0</v>
      </c>
      <c r="Q38" s="64">
        <f t="shared" si="27"/>
        <v>0</v>
      </c>
      <c r="R38" s="64">
        <f t="shared" si="28"/>
        <v>0</v>
      </c>
      <c r="S38" s="64">
        <f t="shared" si="30"/>
        <v>0</v>
      </c>
      <c r="T38" s="553">
        <f t="shared" si="25"/>
        <v>0</v>
      </c>
      <c r="U38" s="1015"/>
      <c r="V38" s="690">
        <f t="shared" si="18"/>
        <v>0</v>
      </c>
      <c r="W38" s="486"/>
      <c r="X38" s="486"/>
      <c r="Y38" s="486"/>
      <c r="Z38" s="486"/>
      <c r="AA38" s="486"/>
      <c r="AB38" s="486"/>
    </row>
    <row r="39" spans="1:28" ht="12.75" customHeight="1" x14ac:dyDescent="0.25">
      <c r="A39" s="527"/>
      <c r="B39" s="533" t="s">
        <v>95</v>
      </c>
      <c r="C39" s="64"/>
      <c r="D39" s="64"/>
      <c r="E39" s="64"/>
      <c r="F39" s="64"/>
      <c r="G39" s="64"/>
      <c r="H39" s="64"/>
      <c r="I39" s="64"/>
      <c r="J39" s="64"/>
      <c r="K39" s="64"/>
      <c r="L39" s="518">
        <f t="shared" si="12"/>
        <v>0</v>
      </c>
      <c r="M39" s="518">
        <f t="shared" si="13"/>
        <v>0</v>
      </c>
      <c r="N39" s="518">
        <f t="shared" si="14"/>
        <v>0</v>
      </c>
      <c r="O39" s="64"/>
      <c r="P39" s="64">
        <f t="shared" si="26"/>
        <v>0</v>
      </c>
      <c r="Q39" s="64">
        <f t="shared" si="27"/>
        <v>0</v>
      </c>
      <c r="R39" s="64">
        <f t="shared" si="28"/>
        <v>0</v>
      </c>
      <c r="S39" s="64">
        <f t="shared" si="30"/>
        <v>0</v>
      </c>
      <c r="T39" s="553">
        <f t="shared" si="25"/>
        <v>0</v>
      </c>
      <c r="U39" s="1015"/>
      <c r="V39" s="690">
        <f t="shared" si="18"/>
        <v>0</v>
      </c>
      <c r="W39" s="486"/>
      <c r="X39" s="486"/>
      <c r="Y39" s="486"/>
      <c r="Z39" s="486"/>
      <c r="AA39" s="486"/>
      <c r="AB39" s="486"/>
    </row>
    <row r="40" spans="1:28" ht="12.75" customHeight="1" x14ac:dyDescent="0.25">
      <c r="A40" s="527"/>
      <c r="B40" s="533" t="s">
        <v>94</v>
      </c>
      <c r="C40" s="64"/>
      <c r="D40" s="64"/>
      <c r="E40" s="64"/>
      <c r="F40" s="64"/>
      <c r="G40" s="64"/>
      <c r="H40" s="64"/>
      <c r="I40" s="64"/>
      <c r="J40" s="64"/>
      <c r="K40" s="64"/>
      <c r="L40" s="518">
        <f t="shared" si="12"/>
        <v>0</v>
      </c>
      <c r="M40" s="518">
        <f t="shared" si="13"/>
        <v>0</v>
      </c>
      <c r="N40" s="518">
        <f t="shared" si="14"/>
        <v>0</v>
      </c>
      <c r="O40" s="64"/>
      <c r="P40" s="64">
        <f t="shared" si="26"/>
        <v>0</v>
      </c>
      <c r="Q40" s="64">
        <f t="shared" si="27"/>
        <v>0</v>
      </c>
      <c r="R40" s="64">
        <f t="shared" si="28"/>
        <v>0</v>
      </c>
      <c r="S40" s="64">
        <f t="shared" si="30"/>
        <v>0</v>
      </c>
      <c r="T40" s="553">
        <f t="shared" si="25"/>
        <v>0</v>
      </c>
      <c r="U40" s="1015"/>
      <c r="V40" s="690">
        <f t="shared" si="18"/>
        <v>0</v>
      </c>
      <c r="W40" s="486"/>
      <c r="X40" s="486"/>
      <c r="Y40" s="486"/>
      <c r="Z40" s="486"/>
      <c r="AA40" s="486"/>
      <c r="AB40" s="486"/>
    </row>
    <row r="41" spans="1:28" ht="12.75" customHeight="1" x14ac:dyDescent="0.25">
      <c r="A41" s="515" t="s">
        <v>38</v>
      </c>
      <c r="B41" s="516" t="s">
        <v>39</v>
      </c>
      <c r="C41" s="167">
        <f>SUM(C42:C47)</f>
        <v>0</v>
      </c>
      <c r="D41" s="167">
        <f t="shared" ref="D41:J41" si="34">SUM(D42:D47)</f>
        <v>2700</v>
      </c>
      <c r="E41" s="167">
        <f t="shared" si="34"/>
        <v>72700</v>
      </c>
      <c r="F41" s="167">
        <f t="shared" si="34"/>
        <v>72700</v>
      </c>
      <c r="G41" s="167"/>
      <c r="H41" s="167">
        <f t="shared" si="34"/>
        <v>0</v>
      </c>
      <c r="I41" s="167">
        <f t="shared" si="34"/>
        <v>2700</v>
      </c>
      <c r="J41" s="167">
        <f t="shared" si="34"/>
        <v>72700</v>
      </c>
      <c r="K41" s="64"/>
      <c r="L41" s="518">
        <f t="shared" si="12"/>
        <v>0</v>
      </c>
      <c r="M41" s="518">
        <f t="shared" si="13"/>
        <v>1</v>
      </c>
      <c r="N41" s="518">
        <f t="shared" si="14"/>
        <v>1</v>
      </c>
      <c r="O41" s="64"/>
      <c r="P41" s="64">
        <f t="shared" si="26"/>
        <v>2700</v>
      </c>
      <c r="Q41" s="64">
        <f t="shared" si="27"/>
        <v>70000</v>
      </c>
      <c r="R41" s="64">
        <f t="shared" si="28"/>
        <v>0</v>
      </c>
      <c r="S41" s="64">
        <f t="shared" si="30"/>
        <v>72700</v>
      </c>
      <c r="T41" s="553">
        <f t="shared" si="25"/>
        <v>0</v>
      </c>
      <c r="U41" s="1015"/>
      <c r="V41" s="690">
        <f t="shared" si="18"/>
        <v>0</v>
      </c>
      <c r="W41" s="486"/>
      <c r="X41" s="486"/>
      <c r="Y41" s="486"/>
      <c r="Z41" s="486"/>
      <c r="AA41" s="486"/>
      <c r="AB41" s="486"/>
    </row>
    <row r="42" spans="1:28" ht="12.75" customHeight="1" x14ac:dyDescent="0.25">
      <c r="A42" s="527" t="s">
        <v>40</v>
      </c>
      <c r="B42" s="533" t="s">
        <v>41</v>
      </c>
      <c r="C42" s="64">
        <v>0</v>
      </c>
      <c r="D42" s="64">
        <v>2700</v>
      </c>
      <c r="E42" s="64">
        <v>72700</v>
      </c>
      <c r="F42" s="64">
        <v>72700</v>
      </c>
      <c r="G42" s="64"/>
      <c r="H42" s="64">
        <v>0</v>
      </c>
      <c r="I42" s="64">
        <v>2700</v>
      </c>
      <c r="J42" s="64">
        <v>72700</v>
      </c>
      <c r="K42" s="64"/>
      <c r="L42" s="518">
        <f t="shared" si="12"/>
        <v>0</v>
      </c>
      <c r="M42" s="518">
        <f t="shared" si="13"/>
        <v>1</v>
      </c>
      <c r="N42" s="518">
        <f t="shared" si="14"/>
        <v>1</v>
      </c>
      <c r="O42" s="64"/>
      <c r="P42" s="64">
        <f t="shared" si="26"/>
        <v>2700</v>
      </c>
      <c r="Q42" s="64">
        <f t="shared" si="27"/>
        <v>70000</v>
      </c>
      <c r="R42" s="64">
        <f t="shared" si="28"/>
        <v>0</v>
      </c>
      <c r="S42" s="64">
        <f t="shared" si="30"/>
        <v>72700</v>
      </c>
      <c r="T42" s="553">
        <f t="shared" si="25"/>
        <v>0</v>
      </c>
      <c r="U42" s="1015"/>
      <c r="V42" s="690">
        <f t="shared" si="18"/>
        <v>0</v>
      </c>
      <c r="W42" s="486"/>
      <c r="X42" s="486"/>
      <c r="Y42" s="486"/>
      <c r="Z42" s="486"/>
      <c r="AA42" s="486"/>
      <c r="AB42" s="486"/>
    </row>
    <row r="43" spans="1:28" ht="12.75" customHeight="1" x14ac:dyDescent="0.25">
      <c r="A43" s="527"/>
      <c r="B43" s="533" t="s">
        <v>42</v>
      </c>
      <c r="C43" s="64"/>
      <c r="D43" s="64"/>
      <c r="E43" s="64"/>
      <c r="F43" s="64"/>
      <c r="G43" s="64"/>
      <c r="H43" s="64"/>
      <c r="I43" s="64"/>
      <c r="J43" s="64"/>
      <c r="K43" s="64"/>
      <c r="L43" s="518">
        <f t="shared" si="12"/>
        <v>0</v>
      </c>
      <c r="M43" s="518">
        <f t="shared" si="13"/>
        <v>0</v>
      </c>
      <c r="N43" s="518">
        <f t="shared" si="14"/>
        <v>0</v>
      </c>
      <c r="O43" s="64"/>
      <c r="P43" s="64">
        <f t="shared" si="26"/>
        <v>0</v>
      </c>
      <c r="Q43" s="64">
        <f t="shared" si="27"/>
        <v>0</v>
      </c>
      <c r="R43" s="64">
        <f t="shared" si="28"/>
        <v>0</v>
      </c>
      <c r="S43" s="64">
        <f t="shared" si="30"/>
        <v>0</v>
      </c>
      <c r="T43" s="553">
        <f t="shared" si="25"/>
        <v>0</v>
      </c>
      <c r="U43" s="1015"/>
      <c r="V43" s="690">
        <f t="shared" si="18"/>
        <v>0</v>
      </c>
      <c r="W43" s="486"/>
      <c r="X43" s="486"/>
      <c r="Y43" s="486"/>
      <c r="Z43" s="486"/>
      <c r="AA43" s="486"/>
      <c r="AB43" s="486"/>
    </row>
    <row r="44" spans="1:28" ht="12.75" customHeight="1" x14ac:dyDescent="0.25">
      <c r="A44" s="527"/>
      <c r="B44" s="533" t="s">
        <v>43</v>
      </c>
      <c r="C44" s="64"/>
      <c r="D44" s="64"/>
      <c r="E44" s="64"/>
      <c r="F44" s="64"/>
      <c r="G44" s="64"/>
      <c r="H44" s="64"/>
      <c r="I44" s="64"/>
      <c r="J44" s="64"/>
      <c r="K44" s="64"/>
      <c r="L44" s="518">
        <f t="shared" si="12"/>
        <v>0</v>
      </c>
      <c r="M44" s="518">
        <f t="shared" si="13"/>
        <v>0</v>
      </c>
      <c r="N44" s="518">
        <f t="shared" si="14"/>
        <v>0</v>
      </c>
      <c r="O44" s="64"/>
      <c r="P44" s="64">
        <f t="shared" si="26"/>
        <v>0</v>
      </c>
      <c r="Q44" s="64">
        <f t="shared" si="27"/>
        <v>0</v>
      </c>
      <c r="R44" s="64">
        <f t="shared" si="28"/>
        <v>0</v>
      </c>
      <c r="S44" s="64">
        <f t="shared" si="30"/>
        <v>0</v>
      </c>
      <c r="T44" s="553">
        <f t="shared" si="25"/>
        <v>0</v>
      </c>
      <c r="U44" s="1015"/>
      <c r="V44" s="690">
        <f t="shared" si="18"/>
        <v>0</v>
      </c>
      <c r="W44" s="486"/>
      <c r="X44" s="486"/>
      <c r="Y44" s="486"/>
      <c r="Z44" s="486"/>
      <c r="AA44" s="486"/>
      <c r="AB44" s="486"/>
    </row>
    <row r="45" spans="1:28" ht="12.75" customHeight="1" x14ac:dyDescent="0.25">
      <c r="A45" s="527"/>
      <c r="B45" s="533" t="s">
        <v>44</v>
      </c>
      <c r="C45" s="64"/>
      <c r="D45" s="64"/>
      <c r="E45" s="64"/>
      <c r="F45" s="64"/>
      <c r="G45" s="64"/>
      <c r="H45" s="64"/>
      <c r="I45" s="64"/>
      <c r="J45" s="64"/>
      <c r="K45" s="64"/>
      <c r="L45" s="518">
        <f t="shared" si="12"/>
        <v>0</v>
      </c>
      <c r="M45" s="518">
        <f t="shared" si="13"/>
        <v>0</v>
      </c>
      <c r="N45" s="518">
        <f t="shared" si="14"/>
        <v>0</v>
      </c>
      <c r="O45" s="64"/>
      <c r="P45" s="64">
        <f t="shared" si="26"/>
        <v>0</v>
      </c>
      <c r="Q45" s="64">
        <f t="shared" si="27"/>
        <v>0</v>
      </c>
      <c r="R45" s="64">
        <f t="shared" si="28"/>
        <v>0</v>
      </c>
      <c r="S45" s="64">
        <f t="shared" si="30"/>
        <v>0</v>
      </c>
      <c r="T45" s="553">
        <f t="shared" si="25"/>
        <v>0</v>
      </c>
      <c r="U45" s="1015"/>
      <c r="V45" s="690">
        <f t="shared" si="18"/>
        <v>0</v>
      </c>
      <c r="W45" s="486"/>
      <c r="X45" s="486"/>
      <c r="Y45" s="486"/>
      <c r="Z45" s="486"/>
      <c r="AA45" s="486"/>
      <c r="AB45" s="486"/>
    </row>
    <row r="46" spans="1:28" ht="12.75" customHeight="1" x14ac:dyDescent="0.25">
      <c r="A46" s="527" t="s">
        <v>45</v>
      </c>
      <c r="B46" s="533" t="s">
        <v>46</v>
      </c>
      <c r="C46" s="64">
        <v>0</v>
      </c>
      <c r="D46" s="64"/>
      <c r="E46" s="64">
        <v>0</v>
      </c>
      <c r="F46" s="64"/>
      <c r="G46" s="64"/>
      <c r="H46" s="64"/>
      <c r="I46" s="64">
        <v>0</v>
      </c>
      <c r="J46" s="64"/>
      <c r="K46" s="64"/>
      <c r="L46" s="518">
        <f t="shared" si="12"/>
        <v>0</v>
      </c>
      <c r="M46" s="518">
        <f t="shared" si="13"/>
        <v>0</v>
      </c>
      <c r="N46" s="518">
        <f t="shared" si="14"/>
        <v>0</v>
      </c>
      <c r="O46" s="64"/>
      <c r="P46" s="64">
        <f t="shared" si="26"/>
        <v>0</v>
      </c>
      <c r="Q46" s="64">
        <f t="shared" si="27"/>
        <v>0</v>
      </c>
      <c r="R46" s="64">
        <f t="shared" si="28"/>
        <v>0</v>
      </c>
      <c r="S46" s="64">
        <f t="shared" si="30"/>
        <v>0</v>
      </c>
      <c r="T46" s="553">
        <f t="shared" si="25"/>
        <v>0</v>
      </c>
      <c r="U46" s="1015"/>
      <c r="V46" s="690">
        <f t="shared" si="18"/>
        <v>0</v>
      </c>
      <c r="W46" s="486"/>
      <c r="X46" s="486"/>
      <c r="Y46" s="486"/>
      <c r="Z46" s="486"/>
      <c r="AA46" s="486"/>
      <c r="AB46" s="486"/>
    </row>
    <row r="47" spans="1:28" ht="12.75" customHeight="1" x14ac:dyDescent="0.25">
      <c r="A47" s="527"/>
      <c r="B47" s="533" t="s">
        <v>47</v>
      </c>
      <c r="C47" s="64"/>
      <c r="D47" s="64"/>
      <c r="E47" s="64"/>
      <c r="F47" s="64"/>
      <c r="G47" s="64"/>
      <c r="H47" s="64"/>
      <c r="I47" s="64"/>
      <c r="J47" s="64"/>
      <c r="K47" s="64"/>
      <c r="L47" s="518">
        <f t="shared" si="12"/>
        <v>0</v>
      </c>
      <c r="M47" s="518">
        <f t="shared" si="13"/>
        <v>0</v>
      </c>
      <c r="N47" s="518">
        <f t="shared" si="14"/>
        <v>0</v>
      </c>
      <c r="O47" s="64"/>
      <c r="P47" s="64">
        <f t="shared" si="26"/>
        <v>0</v>
      </c>
      <c r="Q47" s="64">
        <f t="shared" si="27"/>
        <v>0</v>
      </c>
      <c r="R47" s="64">
        <f t="shared" si="28"/>
        <v>0</v>
      </c>
      <c r="S47" s="64">
        <f t="shared" si="30"/>
        <v>0</v>
      </c>
      <c r="T47" s="553">
        <f t="shared" si="25"/>
        <v>0</v>
      </c>
      <c r="U47" s="1015"/>
      <c r="V47" s="690">
        <f t="shared" si="18"/>
        <v>0</v>
      </c>
      <c r="W47" s="486"/>
      <c r="X47" s="486"/>
      <c r="Y47" s="486"/>
      <c r="Z47" s="486"/>
      <c r="AA47" s="486"/>
      <c r="AB47" s="486"/>
    </row>
    <row r="48" spans="1:28" ht="12.75" customHeight="1" x14ac:dyDescent="0.25">
      <c r="A48" s="515" t="s">
        <v>48</v>
      </c>
      <c r="B48" s="516" t="s">
        <v>49</v>
      </c>
      <c r="C48" s="167">
        <f>SUM(C49:C65)</f>
        <v>8825000</v>
      </c>
      <c r="D48" s="167">
        <f t="shared" ref="D48:J48" si="35">SUM(D49:D65)</f>
        <v>8792300</v>
      </c>
      <c r="E48" s="167">
        <f t="shared" si="35"/>
        <v>8036100</v>
      </c>
      <c r="F48" s="167">
        <f t="shared" si="35"/>
        <v>5590702</v>
      </c>
      <c r="G48" s="167"/>
      <c r="H48" s="167">
        <f t="shared" si="35"/>
        <v>3146276</v>
      </c>
      <c r="I48" s="167">
        <f t="shared" si="35"/>
        <v>4382126</v>
      </c>
      <c r="J48" s="167">
        <f t="shared" si="35"/>
        <v>5289902</v>
      </c>
      <c r="K48" s="64"/>
      <c r="L48" s="518">
        <f t="shared" si="12"/>
        <v>0.35651852691218128</v>
      </c>
      <c r="M48" s="518">
        <f t="shared" si="13"/>
        <v>0.49840496798334905</v>
      </c>
      <c r="N48" s="518">
        <f t="shared" si="14"/>
        <v>0.65826731872425681</v>
      </c>
      <c r="O48" s="64"/>
      <c r="P48" s="64">
        <f t="shared" si="26"/>
        <v>-32700</v>
      </c>
      <c r="Q48" s="64">
        <f t="shared" si="27"/>
        <v>-756200</v>
      </c>
      <c r="R48" s="64">
        <f t="shared" si="28"/>
        <v>-2445398</v>
      </c>
      <c r="S48" s="64">
        <f t="shared" si="30"/>
        <v>-3234298</v>
      </c>
      <c r="T48" s="553">
        <f t="shared" ref="T48:T64" si="36">IF(C48=0,0,+S48/C48)</f>
        <v>-0.36649269121813033</v>
      </c>
      <c r="U48" s="1015"/>
      <c r="V48" s="690">
        <f t="shared" si="18"/>
        <v>0</v>
      </c>
      <c r="W48" s="486"/>
      <c r="X48" s="486"/>
      <c r="Y48" s="486"/>
      <c r="Z48" s="486"/>
      <c r="AA48" s="486"/>
      <c r="AB48" s="486"/>
    </row>
    <row r="49" spans="1:28" ht="12.75" customHeight="1" x14ac:dyDescent="0.25">
      <c r="A49" s="527" t="s">
        <v>50</v>
      </c>
      <c r="B49" s="533" t="s">
        <v>51</v>
      </c>
      <c r="C49" s="64">
        <v>2700000</v>
      </c>
      <c r="D49" s="64">
        <v>2700000</v>
      </c>
      <c r="E49" s="64">
        <v>2700000</v>
      </c>
      <c r="F49" s="64">
        <v>1667197</v>
      </c>
      <c r="G49" s="64"/>
      <c r="H49" s="64">
        <v>1755712</v>
      </c>
      <c r="I49" s="64">
        <v>2040762</v>
      </c>
      <c r="J49" s="64">
        <v>1667197</v>
      </c>
      <c r="K49" s="64"/>
      <c r="L49" s="518">
        <f t="shared" si="12"/>
        <v>0.65026370370370368</v>
      </c>
      <c r="M49" s="518">
        <f t="shared" si="13"/>
        <v>0.75583777777777783</v>
      </c>
      <c r="N49" s="518">
        <f t="shared" si="14"/>
        <v>0.6174803703703704</v>
      </c>
      <c r="O49" s="64"/>
      <c r="P49" s="570">
        <f t="shared" si="26"/>
        <v>0</v>
      </c>
      <c r="Q49" s="570">
        <f t="shared" si="27"/>
        <v>0</v>
      </c>
      <c r="R49" s="570">
        <f t="shared" si="28"/>
        <v>-1032803</v>
      </c>
      <c r="S49" s="570">
        <f t="shared" si="30"/>
        <v>-1032803</v>
      </c>
      <c r="T49" s="553">
        <f t="shared" si="36"/>
        <v>-0.38251962962962965</v>
      </c>
      <c r="U49" s="1015"/>
      <c r="V49" s="690">
        <f t="shared" si="18"/>
        <v>0</v>
      </c>
      <c r="W49" s="486"/>
      <c r="X49" s="486"/>
      <c r="Y49" s="486"/>
      <c r="Z49" s="486"/>
      <c r="AA49" s="486"/>
      <c r="AB49" s="486"/>
    </row>
    <row r="50" spans="1:28" ht="12.75" customHeight="1" x14ac:dyDescent="0.25">
      <c r="A50" s="527" t="s">
        <v>104</v>
      </c>
      <c r="B50" s="533" t="s">
        <v>98</v>
      </c>
      <c r="C50" s="64"/>
      <c r="D50" s="64"/>
      <c r="E50" s="64">
        <v>0</v>
      </c>
      <c r="F50" s="64"/>
      <c r="G50" s="64"/>
      <c r="H50" s="64"/>
      <c r="I50" s="64"/>
      <c r="J50" s="64"/>
      <c r="K50" s="64"/>
      <c r="L50" s="518">
        <f t="shared" si="12"/>
        <v>0</v>
      </c>
      <c r="M50" s="518">
        <f t="shared" si="13"/>
        <v>0</v>
      </c>
      <c r="N50" s="518">
        <f t="shared" si="14"/>
        <v>0</v>
      </c>
      <c r="O50" s="64"/>
      <c r="P50" s="64">
        <f t="shared" si="26"/>
        <v>0</v>
      </c>
      <c r="Q50" s="64">
        <f t="shared" si="27"/>
        <v>0</v>
      </c>
      <c r="R50" s="64">
        <f t="shared" si="28"/>
        <v>0</v>
      </c>
      <c r="S50" s="64">
        <f t="shared" si="30"/>
        <v>0</v>
      </c>
      <c r="T50" s="553">
        <f t="shared" si="36"/>
        <v>0</v>
      </c>
      <c r="U50" s="1015"/>
      <c r="V50" s="690">
        <f t="shared" si="18"/>
        <v>0</v>
      </c>
      <c r="W50" s="486"/>
      <c r="X50" s="486"/>
      <c r="Y50" s="486"/>
      <c r="Z50" s="486"/>
      <c r="AA50" s="486"/>
      <c r="AB50" s="486"/>
    </row>
    <row r="51" spans="1:28" ht="12.75" customHeight="1" x14ac:dyDescent="0.25">
      <c r="A51" s="527"/>
      <c r="B51" s="533" t="s">
        <v>99</v>
      </c>
      <c r="C51" s="64"/>
      <c r="D51" s="64"/>
      <c r="E51" s="64"/>
      <c r="F51" s="64"/>
      <c r="G51" s="64"/>
      <c r="H51" s="64"/>
      <c r="I51" s="64"/>
      <c r="J51" s="64"/>
      <c r="K51" s="64"/>
      <c r="L51" s="518">
        <f t="shared" si="12"/>
        <v>0</v>
      </c>
      <c r="M51" s="518">
        <f t="shared" si="13"/>
        <v>0</v>
      </c>
      <c r="N51" s="518">
        <f t="shared" si="14"/>
        <v>0</v>
      </c>
      <c r="O51" s="64"/>
      <c r="P51" s="64">
        <f t="shared" si="26"/>
        <v>0</v>
      </c>
      <c r="Q51" s="64">
        <f t="shared" si="27"/>
        <v>0</v>
      </c>
      <c r="R51" s="64">
        <f t="shared" si="28"/>
        <v>0</v>
      </c>
      <c r="S51" s="64">
        <f t="shared" si="30"/>
        <v>0</v>
      </c>
      <c r="T51" s="553">
        <f t="shared" si="36"/>
        <v>0</v>
      </c>
      <c r="U51" s="1015"/>
      <c r="V51" s="690">
        <f t="shared" si="18"/>
        <v>0</v>
      </c>
      <c r="W51" s="486"/>
      <c r="X51" s="486"/>
      <c r="Y51" s="486"/>
      <c r="Z51" s="486"/>
      <c r="AA51" s="486"/>
      <c r="AB51" s="486"/>
    </row>
    <row r="52" spans="1:28" ht="12.75" customHeight="1" x14ac:dyDescent="0.25">
      <c r="A52" s="527"/>
      <c r="B52" s="533" t="s">
        <v>100</v>
      </c>
      <c r="C52" s="64"/>
      <c r="D52" s="64"/>
      <c r="E52" s="64"/>
      <c r="F52" s="64"/>
      <c r="G52" s="64"/>
      <c r="H52" s="64"/>
      <c r="I52" s="64"/>
      <c r="J52" s="64"/>
      <c r="K52" s="64"/>
      <c r="L52" s="518">
        <f t="shared" si="12"/>
        <v>0</v>
      </c>
      <c r="M52" s="518">
        <f t="shared" si="13"/>
        <v>0</v>
      </c>
      <c r="N52" s="518">
        <f t="shared" si="14"/>
        <v>0</v>
      </c>
      <c r="O52" s="64"/>
      <c r="P52" s="64">
        <f t="shared" si="26"/>
        <v>0</v>
      </c>
      <c r="Q52" s="64">
        <f t="shared" si="27"/>
        <v>0</v>
      </c>
      <c r="R52" s="64">
        <f t="shared" si="28"/>
        <v>0</v>
      </c>
      <c r="S52" s="64">
        <f t="shared" si="30"/>
        <v>0</v>
      </c>
      <c r="T52" s="553">
        <f t="shared" si="36"/>
        <v>0</v>
      </c>
      <c r="U52" s="1015"/>
      <c r="V52" s="690">
        <f t="shared" si="18"/>
        <v>0</v>
      </c>
      <c r="W52" s="486"/>
      <c r="X52" s="486"/>
      <c r="Y52" s="486"/>
      <c r="Z52" s="486"/>
      <c r="AA52" s="486"/>
      <c r="AB52" s="486"/>
    </row>
    <row r="53" spans="1:28" ht="12.75" customHeight="1" x14ac:dyDescent="0.25">
      <c r="A53" s="527" t="s">
        <v>52</v>
      </c>
      <c r="B53" s="533" t="s">
        <v>53</v>
      </c>
      <c r="C53" s="64"/>
      <c r="D53" s="64"/>
      <c r="E53" s="64"/>
      <c r="F53" s="64"/>
      <c r="G53" s="64"/>
      <c r="H53" s="64"/>
      <c r="I53" s="64"/>
      <c r="J53" s="64"/>
      <c r="K53" s="64"/>
      <c r="L53" s="518">
        <f t="shared" si="12"/>
        <v>0</v>
      </c>
      <c r="M53" s="518">
        <f t="shared" si="13"/>
        <v>0</v>
      </c>
      <c r="N53" s="518">
        <f t="shared" si="14"/>
        <v>0</v>
      </c>
      <c r="O53" s="64"/>
      <c r="P53" s="64">
        <f t="shared" si="26"/>
        <v>0</v>
      </c>
      <c r="Q53" s="64">
        <f t="shared" si="27"/>
        <v>0</v>
      </c>
      <c r="R53" s="64">
        <f t="shared" si="28"/>
        <v>0</v>
      </c>
      <c r="S53" s="64">
        <f t="shared" si="30"/>
        <v>0</v>
      </c>
      <c r="T53" s="553">
        <f t="shared" si="36"/>
        <v>0</v>
      </c>
      <c r="U53" s="1015"/>
      <c r="V53" s="690">
        <f t="shared" si="18"/>
        <v>0</v>
      </c>
      <c r="W53" s="486"/>
      <c r="X53" s="486"/>
      <c r="Y53" s="486"/>
      <c r="Z53" s="486"/>
      <c r="AA53" s="486"/>
      <c r="AB53" s="486"/>
    </row>
    <row r="54" spans="1:28" ht="12.75" customHeight="1" x14ac:dyDescent="0.25">
      <c r="A54" s="527"/>
      <c r="B54" s="533" t="s">
        <v>91</v>
      </c>
      <c r="C54" s="64"/>
      <c r="D54" s="64"/>
      <c r="E54" s="64"/>
      <c r="F54" s="64"/>
      <c r="G54" s="64"/>
      <c r="H54" s="64"/>
      <c r="I54" s="64"/>
      <c r="J54" s="64"/>
      <c r="K54" s="64"/>
      <c r="L54" s="518">
        <f t="shared" si="12"/>
        <v>0</v>
      </c>
      <c r="M54" s="518">
        <f t="shared" si="13"/>
        <v>0</v>
      </c>
      <c r="N54" s="518">
        <f t="shared" si="14"/>
        <v>0</v>
      </c>
      <c r="O54" s="64"/>
      <c r="P54" s="64">
        <f t="shared" si="26"/>
        <v>0</v>
      </c>
      <c r="Q54" s="64">
        <f t="shared" si="27"/>
        <v>0</v>
      </c>
      <c r="R54" s="64">
        <f t="shared" si="28"/>
        <v>0</v>
      </c>
      <c r="S54" s="64">
        <f t="shared" si="30"/>
        <v>0</v>
      </c>
      <c r="T54" s="553">
        <f t="shared" si="36"/>
        <v>0</v>
      </c>
      <c r="U54" s="1015"/>
      <c r="V54" s="690">
        <f t="shared" si="18"/>
        <v>0</v>
      </c>
      <c r="W54" s="486"/>
      <c r="X54" s="486"/>
      <c r="Y54" s="486"/>
      <c r="Z54" s="486"/>
      <c r="AA54" s="486"/>
      <c r="AB54" s="486"/>
    </row>
    <row r="55" spans="1:28" ht="12.75" customHeight="1" x14ac:dyDescent="0.25">
      <c r="A55" s="527"/>
      <c r="B55" s="533" t="s">
        <v>54</v>
      </c>
      <c r="C55" s="64"/>
      <c r="D55" s="64"/>
      <c r="E55" s="64"/>
      <c r="F55" s="64"/>
      <c r="G55" s="64"/>
      <c r="H55" s="64"/>
      <c r="I55" s="64"/>
      <c r="J55" s="64"/>
      <c r="K55" s="64"/>
      <c r="L55" s="518">
        <f t="shared" si="12"/>
        <v>0</v>
      </c>
      <c r="M55" s="518">
        <f t="shared" si="13"/>
        <v>0</v>
      </c>
      <c r="N55" s="518">
        <f t="shared" si="14"/>
        <v>0</v>
      </c>
      <c r="O55" s="64"/>
      <c r="P55" s="64">
        <f t="shared" si="26"/>
        <v>0</v>
      </c>
      <c r="Q55" s="64">
        <f t="shared" si="27"/>
        <v>0</v>
      </c>
      <c r="R55" s="64">
        <f t="shared" si="28"/>
        <v>0</v>
      </c>
      <c r="S55" s="64">
        <f t="shared" si="30"/>
        <v>0</v>
      </c>
      <c r="T55" s="553">
        <f t="shared" si="36"/>
        <v>0</v>
      </c>
      <c r="U55" s="1015"/>
      <c r="V55" s="690">
        <f t="shared" si="18"/>
        <v>0</v>
      </c>
      <c r="W55" s="486"/>
      <c r="X55" s="486"/>
      <c r="Y55" s="486"/>
      <c r="Z55" s="486"/>
      <c r="AA55" s="486"/>
      <c r="AB55" s="486"/>
    </row>
    <row r="56" spans="1:28" ht="12.75" customHeight="1" x14ac:dyDescent="0.25">
      <c r="A56" s="527" t="s">
        <v>55</v>
      </c>
      <c r="B56" s="533" t="s">
        <v>56</v>
      </c>
      <c r="C56" s="169">
        <v>1000000</v>
      </c>
      <c r="D56" s="64">
        <v>1000000</v>
      </c>
      <c r="E56" s="64">
        <v>1000000</v>
      </c>
      <c r="F56" s="64">
        <v>1000000</v>
      </c>
      <c r="G56" s="64"/>
      <c r="H56" s="64">
        <v>460000</v>
      </c>
      <c r="I56" s="64">
        <v>597200</v>
      </c>
      <c r="J56" s="64">
        <v>699200</v>
      </c>
      <c r="K56" s="64"/>
      <c r="L56" s="518">
        <f t="shared" si="12"/>
        <v>0.46</v>
      </c>
      <c r="M56" s="518">
        <f t="shared" si="13"/>
        <v>0.59719999999999995</v>
      </c>
      <c r="N56" s="518">
        <f t="shared" si="14"/>
        <v>0.69920000000000004</v>
      </c>
      <c r="O56" s="64"/>
      <c r="P56" s="570">
        <f t="shared" si="26"/>
        <v>0</v>
      </c>
      <c r="Q56" s="570">
        <f t="shared" si="27"/>
        <v>0</v>
      </c>
      <c r="R56" s="570">
        <f t="shared" si="28"/>
        <v>0</v>
      </c>
      <c r="S56" s="570">
        <f t="shared" si="30"/>
        <v>0</v>
      </c>
      <c r="T56" s="553">
        <f t="shared" si="36"/>
        <v>0</v>
      </c>
      <c r="U56" s="1015"/>
      <c r="V56" s="690">
        <f t="shared" si="18"/>
        <v>0</v>
      </c>
      <c r="W56" s="486"/>
      <c r="X56" s="486"/>
      <c r="Y56" s="486"/>
      <c r="Z56" s="486"/>
      <c r="AA56" s="486"/>
      <c r="AB56" s="486"/>
    </row>
    <row r="57" spans="1:28" ht="12.75" customHeight="1" x14ac:dyDescent="0.25">
      <c r="A57" s="527"/>
      <c r="B57" s="533" t="s">
        <v>57</v>
      </c>
      <c r="C57" s="64"/>
      <c r="D57" s="64"/>
      <c r="E57" s="64">
        <v>0</v>
      </c>
      <c r="F57" s="64"/>
      <c r="G57" s="64"/>
      <c r="H57" s="64"/>
      <c r="I57" s="64"/>
      <c r="J57" s="64"/>
      <c r="K57" s="64"/>
      <c r="L57" s="518">
        <f t="shared" si="12"/>
        <v>0</v>
      </c>
      <c r="M57" s="518">
        <f t="shared" si="13"/>
        <v>0</v>
      </c>
      <c r="N57" s="518">
        <f t="shared" si="14"/>
        <v>0</v>
      </c>
      <c r="O57" s="64"/>
      <c r="P57" s="64">
        <f t="shared" si="26"/>
        <v>0</v>
      </c>
      <c r="Q57" s="64">
        <f t="shared" si="27"/>
        <v>0</v>
      </c>
      <c r="R57" s="64">
        <f t="shared" si="28"/>
        <v>0</v>
      </c>
      <c r="S57" s="64">
        <f t="shared" si="30"/>
        <v>0</v>
      </c>
      <c r="T57" s="553">
        <f t="shared" si="36"/>
        <v>0</v>
      </c>
      <c r="U57" s="1015"/>
      <c r="V57" s="690">
        <f t="shared" si="18"/>
        <v>0</v>
      </c>
      <c r="W57" s="486"/>
      <c r="X57" s="486"/>
      <c r="Y57" s="486"/>
      <c r="Z57" s="486"/>
      <c r="AA57" s="486"/>
      <c r="AB57" s="486"/>
    </row>
    <row r="58" spans="1:28" ht="12.75" customHeight="1" x14ac:dyDescent="0.25">
      <c r="A58" s="527" t="s">
        <v>58</v>
      </c>
      <c r="B58" s="533" t="s">
        <v>92</v>
      </c>
      <c r="C58" s="64">
        <v>75000</v>
      </c>
      <c r="D58" s="64">
        <v>94677</v>
      </c>
      <c r="E58" s="64">
        <v>149677</v>
      </c>
      <c r="F58" s="64">
        <v>149677</v>
      </c>
      <c r="G58" s="64"/>
      <c r="H58" s="64">
        <v>94677</v>
      </c>
      <c r="I58" s="64">
        <v>94677</v>
      </c>
      <c r="J58" s="64">
        <v>149677</v>
      </c>
      <c r="K58" s="64"/>
      <c r="L58" s="518">
        <f t="shared" si="12"/>
        <v>1.2623599999999999</v>
      </c>
      <c r="M58" s="518">
        <f t="shared" si="13"/>
        <v>1</v>
      </c>
      <c r="N58" s="518">
        <f t="shared" si="14"/>
        <v>1</v>
      </c>
      <c r="O58" s="64"/>
      <c r="P58" s="570">
        <f t="shared" si="26"/>
        <v>19677</v>
      </c>
      <c r="Q58" s="570">
        <f t="shared" si="27"/>
        <v>55000</v>
      </c>
      <c r="R58" s="570">
        <f t="shared" si="28"/>
        <v>0</v>
      </c>
      <c r="S58" s="570">
        <f t="shared" si="30"/>
        <v>74677</v>
      </c>
      <c r="T58" s="553">
        <f t="shared" si="36"/>
        <v>0.99569333333333332</v>
      </c>
      <c r="U58" s="1015"/>
      <c r="V58" s="690">
        <f t="shared" si="18"/>
        <v>0</v>
      </c>
      <c r="W58" s="486"/>
      <c r="X58" s="486"/>
      <c r="Y58" s="486"/>
      <c r="Z58" s="486"/>
      <c r="AA58" s="486"/>
      <c r="AB58" s="486"/>
    </row>
    <row r="59" spans="1:28" ht="12.75" customHeight="1" x14ac:dyDescent="0.25">
      <c r="A59" s="527"/>
      <c r="B59" s="533" t="s">
        <v>59</v>
      </c>
      <c r="C59" s="64"/>
      <c r="D59" s="64"/>
      <c r="E59" s="64">
        <v>0</v>
      </c>
      <c r="F59" s="64"/>
      <c r="G59" s="64"/>
      <c r="H59" s="64"/>
      <c r="I59" s="64"/>
      <c r="J59" s="64"/>
      <c r="K59" s="64"/>
      <c r="L59" s="518">
        <f t="shared" si="12"/>
        <v>0</v>
      </c>
      <c r="M59" s="518">
        <f t="shared" si="13"/>
        <v>0</v>
      </c>
      <c r="N59" s="518">
        <f t="shared" si="14"/>
        <v>0</v>
      </c>
      <c r="O59" s="64"/>
      <c r="P59" s="64">
        <f t="shared" si="26"/>
        <v>0</v>
      </c>
      <c r="Q59" s="64">
        <f t="shared" si="27"/>
        <v>0</v>
      </c>
      <c r="R59" s="64">
        <f t="shared" si="28"/>
        <v>0</v>
      </c>
      <c r="S59" s="64">
        <f t="shared" si="30"/>
        <v>0</v>
      </c>
      <c r="T59" s="553">
        <f t="shared" si="36"/>
        <v>0</v>
      </c>
      <c r="U59" s="1015"/>
      <c r="V59" s="690">
        <f t="shared" si="18"/>
        <v>0</v>
      </c>
      <c r="W59" s="486"/>
      <c r="X59" s="486"/>
      <c r="Y59" s="486"/>
      <c r="Z59" s="486"/>
      <c r="AA59" s="486"/>
      <c r="AB59" s="486"/>
    </row>
    <row r="60" spans="1:28" ht="12.75" customHeight="1" x14ac:dyDescent="0.25">
      <c r="A60" s="527" t="s">
        <v>60</v>
      </c>
      <c r="B60" s="533" t="s">
        <v>61</v>
      </c>
      <c r="C60" s="64"/>
      <c r="D60" s="64"/>
      <c r="E60" s="64"/>
      <c r="F60" s="64"/>
      <c r="G60" s="64"/>
      <c r="H60" s="64"/>
      <c r="I60" s="64"/>
      <c r="J60" s="64"/>
      <c r="K60" s="64"/>
      <c r="L60" s="518">
        <f t="shared" si="12"/>
        <v>0</v>
      </c>
      <c r="M60" s="518">
        <f t="shared" si="13"/>
        <v>0</v>
      </c>
      <c r="N60" s="518">
        <f t="shared" si="14"/>
        <v>0</v>
      </c>
      <c r="O60" s="64"/>
      <c r="P60" s="64">
        <f t="shared" si="26"/>
        <v>0</v>
      </c>
      <c r="Q60" s="64">
        <f t="shared" si="27"/>
        <v>0</v>
      </c>
      <c r="R60" s="64">
        <f t="shared" si="28"/>
        <v>0</v>
      </c>
      <c r="S60" s="64">
        <f t="shared" si="30"/>
        <v>0</v>
      </c>
      <c r="T60" s="553">
        <f t="shared" si="36"/>
        <v>0</v>
      </c>
      <c r="U60" s="1015"/>
      <c r="V60" s="690">
        <f t="shared" si="18"/>
        <v>0</v>
      </c>
      <c r="W60" s="486"/>
      <c r="X60" s="486"/>
      <c r="Y60" s="486"/>
      <c r="Z60" s="486"/>
      <c r="AA60" s="486"/>
      <c r="AB60" s="486"/>
    </row>
    <row r="61" spans="1:28" ht="12.75" customHeight="1" x14ac:dyDescent="0.25">
      <c r="A61" s="533"/>
      <c r="B61" s="533" t="s">
        <v>62</v>
      </c>
      <c r="C61" s="64"/>
      <c r="D61" s="64"/>
      <c r="E61" s="64"/>
      <c r="F61" s="64"/>
      <c r="G61" s="64"/>
      <c r="H61" s="64"/>
      <c r="I61" s="64"/>
      <c r="J61" s="64"/>
      <c r="K61" s="64"/>
      <c r="L61" s="518">
        <f t="shared" si="12"/>
        <v>0</v>
      </c>
      <c r="M61" s="518">
        <f t="shared" si="13"/>
        <v>0</v>
      </c>
      <c r="N61" s="518">
        <f t="shared" si="14"/>
        <v>0</v>
      </c>
      <c r="O61" s="64"/>
      <c r="P61" s="64">
        <f t="shared" si="26"/>
        <v>0</v>
      </c>
      <c r="Q61" s="64">
        <f t="shared" si="27"/>
        <v>0</v>
      </c>
      <c r="R61" s="64">
        <f t="shared" si="28"/>
        <v>0</v>
      </c>
      <c r="S61" s="64">
        <f t="shared" si="30"/>
        <v>0</v>
      </c>
      <c r="T61" s="553">
        <f t="shared" si="36"/>
        <v>0</v>
      </c>
      <c r="U61" s="1015"/>
      <c r="V61" s="690">
        <f t="shared" si="18"/>
        <v>0</v>
      </c>
      <c r="W61" s="486"/>
      <c r="X61" s="486"/>
      <c r="Y61" s="486"/>
      <c r="Z61" s="486"/>
      <c r="AA61" s="486"/>
      <c r="AB61" s="486"/>
    </row>
    <row r="62" spans="1:28" ht="12.75" customHeight="1" x14ac:dyDescent="0.25">
      <c r="A62" s="527" t="s">
        <v>63</v>
      </c>
      <c r="B62" s="533" t="s">
        <v>64</v>
      </c>
      <c r="C62" s="64">
        <v>250000</v>
      </c>
      <c r="D62" s="64">
        <v>250000</v>
      </c>
      <c r="E62" s="64">
        <v>250000</v>
      </c>
      <c r="F62" s="64">
        <v>197500</v>
      </c>
      <c r="G62" s="64"/>
      <c r="H62" s="64">
        <v>179500</v>
      </c>
      <c r="I62" s="64">
        <v>197500</v>
      </c>
      <c r="J62" s="64">
        <v>197500</v>
      </c>
      <c r="K62" s="64"/>
      <c r="L62" s="518">
        <f t="shared" si="12"/>
        <v>0.71799999999999997</v>
      </c>
      <c r="M62" s="518">
        <f t="shared" si="13"/>
        <v>0.79</v>
      </c>
      <c r="N62" s="518">
        <f t="shared" si="14"/>
        <v>0.79</v>
      </c>
      <c r="O62" s="64"/>
      <c r="P62" s="570">
        <f t="shared" si="26"/>
        <v>0</v>
      </c>
      <c r="Q62" s="570">
        <f t="shared" si="27"/>
        <v>0</v>
      </c>
      <c r="R62" s="570">
        <f t="shared" si="28"/>
        <v>-52500</v>
      </c>
      <c r="S62" s="570">
        <f t="shared" si="30"/>
        <v>-52500</v>
      </c>
      <c r="T62" s="553">
        <f t="shared" si="36"/>
        <v>-0.21</v>
      </c>
      <c r="U62" s="1015"/>
      <c r="V62" s="690">
        <f t="shared" si="18"/>
        <v>0</v>
      </c>
      <c r="W62" s="486"/>
      <c r="X62" s="486"/>
      <c r="Y62" s="486"/>
      <c r="Z62" s="486"/>
      <c r="AA62" s="486"/>
      <c r="AB62" s="486"/>
    </row>
    <row r="63" spans="1:28" ht="25.5" customHeight="1" x14ac:dyDescent="0.25">
      <c r="A63" s="527"/>
      <c r="B63" s="533" t="s">
        <v>103</v>
      </c>
      <c r="C63" s="64"/>
      <c r="D63" s="64"/>
      <c r="E63" s="64"/>
      <c r="F63" s="64"/>
      <c r="G63" s="64"/>
      <c r="H63" s="64"/>
      <c r="I63" s="64"/>
      <c r="J63" s="64"/>
      <c r="K63" s="64"/>
      <c r="L63" s="518">
        <f t="shared" si="12"/>
        <v>0</v>
      </c>
      <c r="M63" s="518">
        <f t="shared" si="13"/>
        <v>0</v>
      </c>
      <c r="N63" s="518">
        <f t="shared" si="14"/>
        <v>0</v>
      </c>
      <c r="O63" s="64"/>
      <c r="P63" s="64">
        <f t="shared" si="26"/>
        <v>0</v>
      </c>
      <c r="Q63" s="64">
        <f t="shared" si="27"/>
        <v>0</v>
      </c>
      <c r="R63" s="64">
        <f t="shared" si="28"/>
        <v>0</v>
      </c>
      <c r="S63" s="64">
        <f t="shared" si="30"/>
        <v>0</v>
      </c>
      <c r="T63" s="553">
        <f t="shared" si="36"/>
        <v>0</v>
      </c>
      <c r="U63" s="1015"/>
      <c r="V63" s="690">
        <f t="shared" si="18"/>
        <v>0</v>
      </c>
      <c r="W63" s="486"/>
      <c r="X63" s="486"/>
      <c r="Y63" s="486"/>
      <c r="Z63" s="486"/>
      <c r="AA63" s="486"/>
      <c r="AB63" s="486"/>
    </row>
    <row r="64" spans="1:28" ht="12.75" customHeight="1" x14ac:dyDescent="0.25">
      <c r="A64" s="527" t="s">
        <v>65</v>
      </c>
      <c r="B64" s="533" t="s">
        <v>66</v>
      </c>
      <c r="C64" s="169">
        <f>4800000</f>
        <v>4800000</v>
      </c>
      <c r="D64" s="64">
        <v>4747623</v>
      </c>
      <c r="E64" s="64">
        <v>3936423</v>
      </c>
      <c r="F64" s="64">
        <v>2576328</v>
      </c>
      <c r="G64" s="64"/>
      <c r="H64" s="64">
        <v>656387</v>
      </c>
      <c r="I64" s="64">
        <v>1451987</v>
      </c>
      <c r="J64" s="64">
        <v>2576328</v>
      </c>
      <c r="K64" s="64"/>
      <c r="L64" s="518">
        <f t="shared" si="12"/>
        <v>0.13674729166666666</v>
      </c>
      <c r="M64" s="518">
        <f t="shared" si="13"/>
        <v>0.30583451971649811</v>
      </c>
      <c r="N64" s="518">
        <f t="shared" si="14"/>
        <v>0.6544845409144292</v>
      </c>
      <c r="O64" s="64"/>
      <c r="P64" s="570">
        <f t="shared" si="26"/>
        <v>-52377</v>
      </c>
      <c r="Q64" s="570">
        <f t="shared" si="27"/>
        <v>-811200</v>
      </c>
      <c r="R64" s="570">
        <f t="shared" si="28"/>
        <v>-1360095</v>
      </c>
      <c r="S64" s="570">
        <f t="shared" si="30"/>
        <v>-2223672</v>
      </c>
      <c r="T64" s="553">
        <f t="shared" si="36"/>
        <v>-0.46326499999999998</v>
      </c>
      <c r="U64" s="1015"/>
      <c r="V64" s="690">
        <f t="shared" si="18"/>
        <v>0</v>
      </c>
      <c r="W64" s="486"/>
      <c r="X64" s="486"/>
      <c r="Y64" s="486"/>
      <c r="Z64" s="486"/>
      <c r="AA64" s="486"/>
      <c r="AB64" s="486"/>
    </row>
    <row r="65" spans="1:28" ht="40.200000000000003" customHeight="1" x14ac:dyDescent="0.25">
      <c r="A65" s="527"/>
      <c r="B65" s="533" t="s">
        <v>67</v>
      </c>
      <c r="C65" s="64"/>
      <c r="D65" s="64"/>
      <c r="E65" s="64"/>
      <c r="F65" s="64"/>
      <c r="G65" s="64"/>
      <c r="H65" s="64"/>
      <c r="I65" s="64"/>
      <c r="J65" s="64"/>
      <c r="K65" s="64"/>
      <c r="L65" s="518">
        <f t="shared" si="12"/>
        <v>0</v>
      </c>
      <c r="M65" s="518">
        <f t="shared" si="13"/>
        <v>0</v>
      </c>
      <c r="N65" s="518">
        <f t="shared" si="14"/>
        <v>0</v>
      </c>
      <c r="O65" s="64"/>
      <c r="P65" s="64">
        <f t="shared" si="26"/>
        <v>0</v>
      </c>
      <c r="Q65" s="64">
        <f t="shared" si="27"/>
        <v>0</v>
      </c>
      <c r="R65" s="64">
        <f t="shared" si="28"/>
        <v>0</v>
      </c>
      <c r="S65" s="64">
        <f t="shared" si="30"/>
        <v>0</v>
      </c>
      <c r="T65" s="553">
        <f t="shared" ref="T65:T102" si="37">IF(C65=0,0,+S65/C65)</f>
        <v>0</v>
      </c>
      <c r="U65" s="1015"/>
      <c r="V65" s="690">
        <f t="shared" si="18"/>
        <v>0</v>
      </c>
      <c r="W65" s="486"/>
      <c r="X65" s="486"/>
      <c r="Y65" s="486"/>
      <c r="Z65" s="486"/>
      <c r="AA65" s="486"/>
      <c r="AB65" s="486"/>
    </row>
    <row r="66" spans="1:28" ht="12.75" customHeight="1" x14ac:dyDescent="0.25">
      <c r="A66" s="515" t="s">
        <v>68</v>
      </c>
      <c r="B66" s="516" t="s">
        <v>69</v>
      </c>
      <c r="C66" s="167">
        <f>SUM(C67:C70)</f>
        <v>70000</v>
      </c>
      <c r="D66" s="167">
        <f t="shared" ref="D66:J66" si="38">SUM(D67:D70)</f>
        <v>100000</v>
      </c>
      <c r="E66" s="167">
        <f t="shared" si="38"/>
        <v>100000</v>
      </c>
      <c r="F66" s="167">
        <f t="shared" si="38"/>
        <v>100000</v>
      </c>
      <c r="G66" s="167"/>
      <c r="H66" s="167">
        <f t="shared" si="38"/>
        <v>23835</v>
      </c>
      <c r="I66" s="167">
        <f t="shared" si="38"/>
        <v>23835</v>
      </c>
      <c r="J66" s="167">
        <f t="shared" si="38"/>
        <v>71450</v>
      </c>
      <c r="K66" s="64"/>
      <c r="L66" s="518">
        <f t="shared" si="12"/>
        <v>0.34050000000000002</v>
      </c>
      <c r="M66" s="518">
        <f t="shared" si="13"/>
        <v>0.23835000000000001</v>
      </c>
      <c r="N66" s="518">
        <f t="shared" si="14"/>
        <v>0.71450000000000002</v>
      </c>
      <c r="O66" s="64"/>
      <c r="P66" s="64">
        <f t="shared" si="26"/>
        <v>30000</v>
      </c>
      <c r="Q66" s="64">
        <f t="shared" si="27"/>
        <v>0</v>
      </c>
      <c r="R66" s="64">
        <f t="shared" si="28"/>
        <v>0</v>
      </c>
      <c r="S66" s="64">
        <f t="shared" si="30"/>
        <v>30000</v>
      </c>
      <c r="T66" s="553">
        <f t="shared" si="37"/>
        <v>0.42857142857142855</v>
      </c>
      <c r="U66" s="1015"/>
      <c r="V66" s="690">
        <f t="shared" si="18"/>
        <v>0</v>
      </c>
      <c r="W66" s="486"/>
      <c r="X66" s="486"/>
      <c r="Y66" s="486"/>
      <c r="Z66" s="486"/>
      <c r="AA66" s="486"/>
      <c r="AB66" s="486"/>
    </row>
    <row r="67" spans="1:28" ht="12.75" customHeight="1" x14ac:dyDescent="0.25">
      <c r="A67" s="527" t="s">
        <v>70</v>
      </c>
      <c r="B67" s="533" t="s">
        <v>71</v>
      </c>
      <c r="C67" s="64">
        <v>70000</v>
      </c>
      <c r="D67" s="64">
        <v>100000</v>
      </c>
      <c r="E67" s="64">
        <v>100000</v>
      </c>
      <c r="F67" s="64">
        <v>100000</v>
      </c>
      <c r="G67" s="64"/>
      <c r="H67" s="64">
        <v>23835</v>
      </c>
      <c r="I67" s="64">
        <v>23835</v>
      </c>
      <c r="J67" s="64">
        <v>71450</v>
      </c>
      <c r="K67" s="64"/>
      <c r="L67" s="518">
        <f t="shared" si="12"/>
        <v>0.34050000000000002</v>
      </c>
      <c r="M67" s="518">
        <f t="shared" si="13"/>
        <v>0.23835000000000001</v>
      </c>
      <c r="N67" s="518">
        <f t="shared" si="14"/>
        <v>0.71450000000000002</v>
      </c>
      <c r="O67" s="64"/>
      <c r="P67" s="570">
        <f t="shared" si="26"/>
        <v>30000</v>
      </c>
      <c r="Q67" s="570">
        <f t="shared" si="27"/>
        <v>0</v>
      </c>
      <c r="R67" s="570">
        <f t="shared" si="28"/>
        <v>0</v>
      </c>
      <c r="S67" s="570">
        <f t="shared" si="30"/>
        <v>30000</v>
      </c>
      <c r="T67" s="553">
        <f t="shared" si="37"/>
        <v>0.42857142857142855</v>
      </c>
      <c r="U67" s="1015"/>
      <c r="V67" s="690">
        <f t="shared" si="18"/>
        <v>0</v>
      </c>
      <c r="W67" s="486"/>
      <c r="X67" s="486"/>
      <c r="Y67" s="486"/>
      <c r="Z67" s="486"/>
      <c r="AA67" s="486"/>
      <c r="AB67" s="486"/>
    </row>
    <row r="68" spans="1:28" ht="39.6" customHeight="1" x14ac:dyDescent="0.25">
      <c r="A68" s="527"/>
      <c r="B68" s="533" t="s">
        <v>72</v>
      </c>
      <c r="C68" s="64"/>
      <c r="D68" s="64"/>
      <c r="E68" s="64">
        <v>0</v>
      </c>
      <c r="F68" s="64"/>
      <c r="G68" s="64"/>
      <c r="H68" s="64"/>
      <c r="I68" s="64"/>
      <c r="J68" s="64"/>
      <c r="K68" s="64"/>
      <c r="L68" s="518">
        <f t="shared" si="12"/>
        <v>0</v>
      </c>
      <c r="M68" s="518">
        <f t="shared" si="13"/>
        <v>0</v>
      </c>
      <c r="N68" s="518">
        <f t="shared" si="14"/>
        <v>0</v>
      </c>
      <c r="O68" s="64"/>
      <c r="P68" s="64"/>
      <c r="Q68" s="64"/>
      <c r="R68" s="64"/>
      <c r="S68" s="64"/>
      <c r="T68" s="553">
        <f t="shared" si="37"/>
        <v>0</v>
      </c>
      <c r="U68" s="1015"/>
      <c r="V68" s="690">
        <f t="shared" si="18"/>
        <v>0</v>
      </c>
      <c r="W68" s="486"/>
      <c r="X68" s="486"/>
      <c r="Y68" s="486"/>
      <c r="Z68" s="486"/>
      <c r="AA68" s="486"/>
      <c r="AB68" s="486"/>
    </row>
    <row r="69" spans="1:28" ht="12.75" customHeight="1" x14ac:dyDescent="0.25">
      <c r="A69" s="527" t="s">
        <v>73</v>
      </c>
      <c r="B69" s="533" t="s">
        <v>101</v>
      </c>
      <c r="C69" s="64">
        <v>0</v>
      </c>
      <c r="D69" s="64">
        <v>0</v>
      </c>
      <c r="E69" s="64">
        <v>0</v>
      </c>
      <c r="F69" s="64">
        <v>0</v>
      </c>
      <c r="G69" s="64"/>
      <c r="H69" s="64">
        <v>0</v>
      </c>
      <c r="I69" s="64">
        <v>0</v>
      </c>
      <c r="J69" s="64">
        <v>0</v>
      </c>
      <c r="K69" s="64"/>
      <c r="L69" s="518">
        <f t="shared" si="12"/>
        <v>0</v>
      </c>
      <c r="M69" s="518">
        <f t="shared" si="13"/>
        <v>0</v>
      </c>
      <c r="N69" s="518">
        <f t="shared" si="14"/>
        <v>0</v>
      </c>
      <c r="O69" s="64"/>
      <c r="P69" s="570">
        <f t="shared" ref="P69:P95" si="39">+(D69-C69)*P$10</f>
        <v>0</v>
      </c>
      <c r="Q69" s="570">
        <f t="shared" ref="Q69:Q95" si="40">+(E69-D69)*Q$10</f>
        <v>0</v>
      </c>
      <c r="R69" s="570">
        <f t="shared" ref="R69:R95" si="41">+(F69-E69)*R$10</f>
        <v>0</v>
      </c>
      <c r="S69" s="570">
        <f t="shared" si="30"/>
        <v>0</v>
      </c>
      <c r="T69" s="553">
        <f t="shared" si="37"/>
        <v>0</v>
      </c>
      <c r="U69" s="1015"/>
      <c r="V69" s="690">
        <f t="shared" si="18"/>
        <v>0</v>
      </c>
      <c r="W69" s="486"/>
      <c r="X69" s="486"/>
      <c r="Y69" s="486"/>
      <c r="Z69" s="486"/>
      <c r="AA69" s="486"/>
      <c r="AB69" s="486"/>
    </row>
    <row r="70" spans="1:28" ht="12.75" customHeight="1" x14ac:dyDescent="0.25">
      <c r="A70" s="527"/>
      <c r="B70" s="533" t="s">
        <v>74</v>
      </c>
      <c r="C70" s="64"/>
      <c r="D70" s="64"/>
      <c r="E70" s="64">
        <v>0</v>
      </c>
      <c r="F70" s="64"/>
      <c r="G70" s="64"/>
      <c r="H70" s="64"/>
      <c r="I70" s="64"/>
      <c r="J70" s="64"/>
      <c r="K70" s="64"/>
      <c r="L70" s="518">
        <f t="shared" si="12"/>
        <v>0</v>
      </c>
      <c r="M70" s="518">
        <f t="shared" si="13"/>
        <v>0</v>
      </c>
      <c r="N70" s="518">
        <f t="shared" si="14"/>
        <v>0</v>
      </c>
      <c r="O70" s="64"/>
      <c r="P70" s="64">
        <f t="shared" si="39"/>
        <v>0</v>
      </c>
      <c r="Q70" s="64">
        <f t="shared" si="40"/>
        <v>0</v>
      </c>
      <c r="R70" s="64">
        <f t="shared" si="41"/>
        <v>0</v>
      </c>
      <c r="S70" s="64">
        <f t="shared" si="30"/>
        <v>0</v>
      </c>
      <c r="T70" s="553">
        <f t="shared" si="37"/>
        <v>0</v>
      </c>
      <c r="U70" s="1015"/>
      <c r="V70" s="690">
        <f t="shared" si="18"/>
        <v>0</v>
      </c>
      <c r="W70" s="486"/>
      <c r="X70" s="486"/>
      <c r="Y70" s="486"/>
      <c r="Z70" s="486"/>
      <c r="AA70" s="486"/>
      <c r="AB70" s="486"/>
    </row>
    <row r="71" spans="1:28" ht="12.75" customHeight="1" x14ac:dyDescent="0.25">
      <c r="A71" s="515" t="s">
        <v>75</v>
      </c>
      <c r="B71" s="516" t="s">
        <v>76</v>
      </c>
      <c r="C71" s="167">
        <f>SUM(C72:C81)</f>
        <v>2320000</v>
      </c>
      <c r="D71" s="167">
        <f t="shared" ref="D71:J71" si="42">SUM(D72:D81)</f>
        <v>2320000</v>
      </c>
      <c r="E71" s="167">
        <f t="shared" si="42"/>
        <v>2320000</v>
      </c>
      <c r="F71" s="167">
        <f t="shared" si="42"/>
        <v>1408481</v>
      </c>
      <c r="G71" s="167"/>
      <c r="H71" s="167">
        <f t="shared" si="42"/>
        <v>849168</v>
      </c>
      <c r="I71" s="167">
        <f t="shared" si="42"/>
        <v>1230834</v>
      </c>
      <c r="J71" s="167">
        <f t="shared" si="42"/>
        <v>1408481</v>
      </c>
      <c r="K71" s="64"/>
      <c r="L71" s="518">
        <f t="shared" si="12"/>
        <v>0.36602068965517243</v>
      </c>
      <c r="M71" s="518">
        <f t="shared" si="13"/>
        <v>0.53053189655172417</v>
      </c>
      <c r="N71" s="518">
        <f t="shared" si="14"/>
        <v>0.60710387931034482</v>
      </c>
      <c r="O71" s="64"/>
      <c r="P71" s="64">
        <f t="shared" si="39"/>
        <v>0</v>
      </c>
      <c r="Q71" s="64">
        <f t="shared" si="40"/>
        <v>0</v>
      </c>
      <c r="R71" s="64">
        <f t="shared" si="41"/>
        <v>-911519</v>
      </c>
      <c r="S71" s="64">
        <f t="shared" si="30"/>
        <v>-911519</v>
      </c>
      <c r="T71" s="553">
        <f t="shared" si="37"/>
        <v>-0.39289612068965518</v>
      </c>
      <c r="U71" s="1015"/>
      <c r="V71" s="690">
        <f t="shared" si="18"/>
        <v>0</v>
      </c>
      <c r="W71" s="486"/>
      <c r="X71" s="486"/>
      <c r="Y71" s="486"/>
      <c r="Z71" s="486"/>
      <c r="AA71" s="486"/>
      <c r="AB71" s="486"/>
    </row>
    <row r="72" spans="1:28" ht="12.75" customHeight="1" x14ac:dyDescent="0.25">
      <c r="A72" s="527" t="s">
        <v>77</v>
      </c>
      <c r="B72" s="533" t="s">
        <v>78</v>
      </c>
      <c r="C72" s="64">
        <v>2300000</v>
      </c>
      <c r="D72" s="64">
        <v>2298000</v>
      </c>
      <c r="E72" s="64">
        <v>2298000</v>
      </c>
      <c r="F72" s="64">
        <v>1393656</v>
      </c>
      <c r="G72" s="64"/>
      <c r="H72" s="64">
        <v>836080</v>
      </c>
      <c r="I72" s="64">
        <v>1217503</v>
      </c>
      <c r="J72" s="64">
        <v>1393656</v>
      </c>
      <c r="K72" s="64"/>
      <c r="L72" s="518">
        <f t="shared" si="12"/>
        <v>0.36351304347826086</v>
      </c>
      <c r="M72" s="518">
        <f t="shared" si="13"/>
        <v>0.52980983463881637</v>
      </c>
      <c r="N72" s="518">
        <f t="shared" si="14"/>
        <v>0.60646475195822458</v>
      </c>
      <c r="O72" s="64"/>
      <c r="P72" s="570">
        <f t="shared" si="39"/>
        <v>-2000</v>
      </c>
      <c r="Q72" s="570">
        <f t="shared" si="40"/>
        <v>0</v>
      </c>
      <c r="R72" s="570">
        <f t="shared" si="41"/>
        <v>-904344</v>
      </c>
      <c r="S72" s="570">
        <f t="shared" si="30"/>
        <v>-906344</v>
      </c>
      <c r="T72" s="553">
        <f t="shared" si="37"/>
        <v>-0.39406260869565218</v>
      </c>
      <c r="U72" s="1015"/>
      <c r="V72" s="690">
        <f t="shared" si="18"/>
        <v>0</v>
      </c>
      <c r="W72" s="486"/>
      <c r="X72" s="486"/>
      <c r="Y72" s="486"/>
      <c r="Z72" s="486"/>
      <c r="AA72" s="486"/>
      <c r="AB72" s="486"/>
    </row>
    <row r="73" spans="1:28" ht="12.75" customHeight="1" x14ac:dyDescent="0.25">
      <c r="A73" s="527"/>
      <c r="B73" s="533" t="s">
        <v>79</v>
      </c>
      <c r="C73" s="64"/>
      <c r="D73" s="64"/>
      <c r="E73" s="64"/>
      <c r="F73" s="64"/>
      <c r="G73" s="64"/>
      <c r="H73" s="64"/>
      <c r="I73" s="64"/>
      <c r="J73" s="64"/>
      <c r="K73" s="64"/>
      <c r="L73" s="518">
        <f t="shared" si="12"/>
        <v>0</v>
      </c>
      <c r="M73" s="518">
        <f t="shared" si="13"/>
        <v>0</v>
      </c>
      <c r="N73" s="518">
        <f t="shared" si="14"/>
        <v>0</v>
      </c>
      <c r="O73" s="64"/>
      <c r="P73" s="64">
        <f t="shared" si="39"/>
        <v>0</v>
      </c>
      <c r="Q73" s="64">
        <f t="shared" si="40"/>
        <v>0</v>
      </c>
      <c r="R73" s="64">
        <f t="shared" si="41"/>
        <v>0</v>
      </c>
      <c r="S73" s="64">
        <f t="shared" si="30"/>
        <v>0</v>
      </c>
      <c r="T73" s="553">
        <f t="shared" si="37"/>
        <v>0</v>
      </c>
      <c r="U73" s="1015"/>
      <c r="V73" s="690">
        <f t="shared" si="18"/>
        <v>0</v>
      </c>
      <c r="W73" s="486"/>
      <c r="X73" s="486"/>
      <c r="Y73" s="486"/>
      <c r="Z73" s="486"/>
      <c r="AA73" s="486"/>
      <c r="AB73" s="486"/>
    </row>
    <row r="74" spans="1:28" ht="12.75" customHeight="1" x14ac:dyDescent="0.25">
      <c r="A74" s="527" t="s">
        <v>80</v>
      </c>
      <c r="B74" s="533" t="s">
        <v>81</v>
      </c>
      <c r="C74" s="64">
        <v>10000</v>
      </c>
      <c r="D74" s="64">
        <v>12000</v>
      </c>
      <c r="E74" s="64">
        <v>12000</v>
      </c>
      <c r="F74" s="64">
        <v>12000</v>
      </c>
      <c r="G74" s="64"/>
      <c r="H74" s="64">
        <v>12000</v>
      </c>
      <c r="I74" s="64">
        <v>12000</v>
      </c>
      <c r="J74" s="64">
        <v>12000</v>
      </c>
      <c r="K74" s="64"/>
      <c r="L74" s="518">
        <f t="shared" si="12"/>
        <v>1.2</v>
      </c>
      <c r="M74" s="518">
        <f t="shared" si="13"/>
        <v>1</v>
      </c>
      <c r="N74" s="518">
        <f t="shared" si="14"/>
        <v>1</v>
      </c>
      <c r="O74" s="64"/>
      <c r="P74" s="570">
        <f t="shared" si="39"/>
        <v>2000</v>
      </c>
      <c r="Q74" s="570">
        <f t="shared" si="40"/>
        <v>0</v>
      </c>
      <c r="R74" s="570">
        <f t="shared" si="41"/>
        <v>0</v>
      </c>
      <c r="S74" s="570">
        <f t="shared" si="30"/>
        <v>2000</v>
      </c>
      <c r="T74" s="553">
        <f t="shared" si="37"/>
        <v>0.2</v>
      </c>
      <c r="U74" s="1015"/>
      <c r="V74" s="690">
        <f t="shared" si="18"/>
        <v>0</v>
      </c>
      <c r="W74" s="486"/>
      <c r="X74" s="486"/>
      <c r="Y74" s="486"/>
      <c r="Z74" s="486"/>
      <c r="AA74" s="486"/>
      <c r="AB74" s="486"/>
    </row>
    <row r="75" spans="1:28" ht="12.75" customHeight="1" x14ac:dyDescent="0.25">
      <c r="A75" s="527"/>
      <c r="B75" s="533" t="s">
        <v>102</v>
      </c>
      <c r="C75" s="64"/>
      <c r="D75" s="64"/>
      <c r="E75" s="64"/>
      <c r="F75" s="64"/>
      <c r="G75" s="64"/>
      <c r="H75" s="64"/>
      <c r="I75" s="64"/>
      <c r="J75" s="64"/>
      <c r="K75" s="64"/>
      <c r="L75" s="518">
        <f t="shared" si="12"/>
        <v>0</v>
      </c>
      <c r="M75" s="518">
        <f t="shared" si="13"/>
        <v>0</v>
      </c>
      <c r="N75" s="518">
        <f t="shared" si="14"/>
        <v>0</v>
      </c>
      <c r="O75" s="64"/>
      <c r="P75" s="64">
        <f t="shared" si="39"/>
        <v>0</v>
      </c>
      <c r="Q75" s="64">
        <f t="shared" si="40"/>
        <v>0</v>
      </c>
      <c r="R75" s="64">
        <f t="shared" si="41"/>
        <v>0</v>
      </c>
      <c r="S75" s="64">
        <f t="shared" si="30"/>
        <v>0</v>
      </c>
      <c r="T75" s="553">
        <f t="shared" si="37"/>
        <v>0</v>
      </c>
      <c r="U75" s="1015"/>
      <c r="V75" s="690">
        <f t="shared" si="18"/>
        <v>0</v>
      </c>
      <c r="W75" s="486"/>
      <c r="X75" s="486"/>
      <c r="Y75" s="486"/>
      <c r="Z75" s="486"/>
      <c r="AA75" s="486"/>
      <c r="AB75" s="486"/>
    </row>
    <row r="76" spans="1:28" ht="12.75" customHeight="1" x14ac:dyDescent="0.25">
      <c r="A76" s="527" t="s">
        <v>82</v>
      </c>
      <c r="B76" s="533" t="s">
        <v>83</v>
      </c>
      <c r="C76" s="64">
        <v>0</v>
      </c>
      <c r="D76" s="64"/>
      <c r="E76" s="64"/>
      <c r="F76" s="64"/>
      <c r="G76" s="64"/>
      <c r="H76" s="64"/>
      <c r="I76" s="64"/>
      <c r="J76" s="64"/>
      <c r="K76" s="64"/>
      <c r="L76" s="518">
        <f t="shared" si="12"/>
        <v>0</v>
      </c>
      <c r="M76" s="518">
        <f t="shared" si="13"/>
        <v>0</v>
      </c>
      <c r="N76" s="518">
        <f t="shared" si="14"/>
        <v>0</v>
      </c>
      <c r="O76" s="64"/>
      <c r="P76" s="64">
        <f t="shared" si="39"/>
        <v>0</v>
      </c>
      <c r="Q76" s="64">
        <f t="shared" si="40"/>
        <v>0</v>
      </c>
      <c r="R76" s="64">
        <f t="shared" si="41"/>
        <v>0</v>
      </c>
      <c r="S76" s="64">
        <f t="shared" si="30"/>
        <v>0</v>
      </c>
      <c r="T76" s="553">
        <f t="shared" si="37"/>
        <v>0</v>
      </c>
      <c r="U76" s="1015"/>
      <c r="V76" s="690">
        <f t="shared" si="18"/>
        <v>0</v>
      </c>
      <c r="W76" s="486"/>
      <c r="X76" s="486"/>
      <c r="Y76" s="486"/>
      <c r="Z76" s="486"/>
      <c r="AA76" s="486"/>
      <c r="AB76" s="486"/>
    </row>
    <row r="77" spans="1:28" ht="12.75" customHeight="1" x14ac:dyDescent="0.25">
      <c r="A77" s="527"/>
      <c r="B77" s="533" t="s">
        <v>107</v>
      </c>
      <c r="C77" s="64"/>
      <c r="D77" s="64"/>
      <c r="E77" s="64"/>
      <c r="F77" s="64"/>
      <c r="G77" s="64"/>
      <c r="H77" s="64"/>
      <c r="I77" s="64"/>
      <c r="J77" s="64"/>
      <c r="K77" s="64"/>
      <c r="L77" s="518">
        <f t="shared" ref="L77:L102" si="43">IF(C77=0,0,H77/C77)</f>
        <v>0</v>
      </c>
      <c r="M77" s="518">
        <f t="shared" ref="M77:M102" si="44">IF(D77=0,0,I77/D77)</f>
        <v>0</v>
      </c>
      <c r="N77" s="518">
        <f t="shared" ref="N77:N102" si="45">IF(E77=0,0,J77/E77)</f>
        <v>0</v>
      </c>
      <c r="O77" s="64"/>
      <c r="P77" s="64">
        <f t="shared" si="39"/>
        <v>0</v>
      </c>
      <c r="Q77" s="64">
        <f t="shared" si="40"/>
        <v>0</v>
      </c>
      <c r="R77" s="64">
        <f t="shared" si="41"/>
        <v>0</v>
      </c>
      <c r="S77" s="64">
        <f t="shared" si="30"/>
        <v>0</v>
      </c>
      <c r="T77" s="553">
        <f t="shared" si="37"/>
        <v>0</v>
      </c>
      <c r="U77" s="1015"/>
      <c r="V77" s="690">
        <f t="shared" ref="V77:V101" si="46">+S77-F77+C77</f>
        <v>0</v>
      </c>
      <c r="W77" s="486"/>
      <c r="X77" s="486"/>
      <c r="Y77" s="486"/>
      <c r="Z77" s="486"/>
      <c r="AA77" s="486"/>
      <c r="AB77" s="486"/>
    </row>
    <row r="78" spans="1:28" ht="12.75" customHeight="1" x14ac:dyDescent="0.25">
      <c r="A78" s="527" t="s">
        <v>85</v>
      </c>
      <c r="B78" s="533" t="s">
        <v>86</v>
      </c>
      <c r="C78" s="64">
        <v>0</v>
      </c>
      <c r="D78" s="64"/>
      <c r="E78" s="64"/>
      <c r="F78" s="64"/>
      <c r="G78" s="64"/>
      <c r="H78" s="64"/>
      <c r="I78" s="64"/>
      <c r="J78" s="64"/>
      <c r="K78" s="64"/>
      <c r="L78" s="518">
        <f t="shared" si="43"/>
        <v>0</v>
      </c>
      <c r="M78" s="518">
        <f t="shared" si="44"/>
        <v>0</v>
      </c>
      <c r="N78" s="518">
        <f t="shared" si="45"/>
        <v>0</v>
      </c>
      <c r="O78" s="64"/>
      <c r="P78" s="64">
        <f t="shared" si="39"/>
        <v>0</v>
      </c>
      <c r="Q78" s="64">
        <f t="shared" si="40"/>
        <v>0</v>
      </c>
      <c r="R78" s="64">
        <f t="shared" si="41"/>
        <v>0</v>
      </c>
      <c r="S78" s="64">
        <f t="shared" si="30"/>
        <v>0</v>
      </c>
      <c r="T78" s="553">
        <f t="shared" si="37"/>
        <v>0</v>
      </c>
      <c r="U78" s="1015"/>
      <c r="V78" s="690">
        <f t="shared" si="46"/>
        <v>0</v>
      </c>
      <c r="W78" s="486"/>
      <c r="X78" s="486"/>
      <c r="Y78" s="486"/>
      <c r="Z78" s="486"/>
      <c r="AA78" s="486"/>
      <c r="AB78" s="486"/>
    </row>
    <row r="79" spans="1:28" ht="12.75" customHeight="1" x14ac:dyDescent="0.25">
      <c r="A79" s="527"/>
      <c r="B79" s="533" t="s">
        <v>87</v>
      </c>
      <c r="C79" s="64"/>
      <c r="D79" s="64"/>
      <c r="E79" s="64"/>
      <c r="F79" s="64"/>
      <c r="G79" s="64"/>
      <c r="H79" s="64"/>
      <c r="I79" s="64"/>
      <c r="J79" s="64"/>
      <c r="K79" s="64"/>
      <c r="L79" s="518">
        <f t="shared" si="43"/>
        <v>0</v>
      </c>
      <c r="M79" s="518">
        <f t="shared" si="44"/>
        <v>0</v>
      </c>
      <c r="N79" s="518">
        <f t="shared" si="45"/>
        <v>0</v>
      </c>
      <c r="O79" s="64"/>
      <c r="P79" s="64">
        <f t="shared" si="39"/>
        <v>0</v>
      </c>
      <c r="Q79" s="64">
        <f t="shared" si="40"/>
        <v>0</v>
      </c>
      <c r="R79" s="64">
        <f t="shared" si="41"/>
        <v>0</v>
      </c>
      <c r="S79" s="64">
        <f t="shared" si="30"/>
        <v>0</v>
      </c>
      <c r="T79" s="553">
        <f t="shared" si="37"/>
        <v>0</v>
      </c>
      <c r="U79" s="1015"/>
      <c r="V79" s="690">
        <f t="shared" si="46"/>
        <v>0</v>
      </c>
      <c r="W79" s="486"/>
      <c r="X79" s="486"/>
      <c r="Y79" s="486"/>
      <c r="Z79" s="486"/>
      <c r="AA79" s="486"/>
      <c r="AB79" s="486"/>
    </row>
    <row r="80" spans="1:28" ht="12.75" customHeight="1" x14ac:dyDescent="0.25">
      <c r="A80" s="527" t="s">
        <v>88</v>
      </c>
      <c r="B80" s="533" t="s">
        <v>89</v>
      </c>
      <c r="C80" s="64">
        <v>10000</v>
      </c>
      <c r="D80" s="64">
        <v>10000</v>
      </c>
      <c r="E80" s="64">
        <v>10000</v>
      </c>
      <c r="F80" s="64">
        <v>2825</v>
      </c>
      <c r="G80" s="64"/>
      <c r="H80" s="64">
        <v>1088</v>
      </c>
      <c r="I80" s="64">
        <v>1331</v>
      </c>
      <c r="J80" s="64">
        <v>2825</v>
      </c>
      <c r="K80" s="64"/>
      <c r="L80" s="518">
        <f t="shared" si="43"/>
        <v>0.10879999999999999</v>
      </c>
      <c r="M80" s="518">
        <f t="shared" si="44"/>
        <v>0.1331</v>
      </c>
      <c r="N80" s="518">
        <f t="shared" si="45"/>
        <v>0.28249999999999997</v>
      </c>
      <c r="O80" s="64"/>
      <c r="P80" s="570">
        <f t="shared" si="39"/>
        <v>0</v>
      </c>
      <c r="Q80" s="570">
        <f t="shared" si="40"/>
        <v>0</v>
      </c>
      <c r="R80" s="570">
        <f t="shared" si="41"/>
        <v>-7175</v>
      </c>
      <c r="S80" s="570">
        <f t="shared" si="30"/>
        <v>-7175</v>
      </c>
      <c r="T80" s="553">
        <f t="shared" si="37"/>
        <v>-0.71750000000000003</v>
      </c>
      <c r="U80" s="1015"/>
      <c r="V80" s="690">
        <f t="shared" si="46"/>
        <v>0</v>
      </c>
      <c r="W80" s="486"/>
      <c r="X80" s="486"/>
      <c r="Y80" s="486"/>
      <c r="Z80" s="486"/>
      <c r="AA80" s="486"/>
      <c r="AB80" s="486"/>
    </row>
    <row r="81" spans="1:28" ht="38.1" customHeight="1" x14ac:dyDescent="0.25">
      <c r="A81" s="527"/>
      <c r="B81" s="533" t="s">
        <v>93</v>
      </c>
      <c r="C81" s="64"/>
      <c r="D81" s="64"/>
      <c r="E81" s="64"/>
      <c r="F81" s="64"/>
      <c r="G81" s="64"/>
      <c r="H81" s="64"/>
      <c r="I81" s="64"/>
      <c r="J81" s="64"/>
      <c r="K81" s="64"/>
      <c r="L81" s="518">
        <f t="shared" si="43"/>
        <v>0</v>
      </c>
      <c r="M81" s="518">
        <f t="shared" si="44"/>
        <v>0</v>
      </c>
      <c r="N81" s="518">
        <f t="shared" si="45"/>
        <v>0</v>
      </c>
      <c r="O81" s="64"/>
      <c r="P81" s="64">
        <f t="shared" si="39"/>
        <v>0</v>
      </c>
      <c r="Q81" s="64">
        <f t="shared" si="40"/>
        <v>0</v>
      </c>
      <c r="R81" s="64">
        <f t="shared" si="41"/>
        <v>0</v>
      </c>
      <c r="S81" s="64">
        <f t="shared" si="30"/>
        <v>0</v>
      </c>
      <c r="T81" s="553">
        <f t="shared" si="37"/>
        <v>0</v>
      </c>
      <c r="U81" s="1015"/>
      <c r="V81" s="690">
        <f t="shared" si="46"/>
        <v>0</v>
      </c>
      <c r="W81" s="486"/>
      <c r="X81" s="486"/>
      <c r="Y81" s="486"/>
      <c r="Z81" s="486"/>
      <c r="AA81" s="486"/>
      <c r="AB81" s="486"/>
    </row>
    <row r="82" spans="1:28" ht="12.75" customHeight="1" x14ac:dyDescent="0.25">
      <c r="A82" s="642"/>
      <c r="B82" s="643"/>
      <c r="C82" s="64"/>
      <c r="D82" s="64"/>
      <c r="E82" s="64"/>
      <c r="F82" s="64"/>
      <c r="G82" s="64"/>
      <c r="H82" s="64"/>
      <c r="I82" s="64"/>
      <c r="J82" s="64"/>
      <c r="K82" s="64"/>
      <c r="L82" s="546">
        <f t="shared" si="43"/>
        <v>0</v>
      </c>
      <c r="M82" s="546">
        <f t="shared" si="44"/>
        <v>0</v>
      </c>
      <c r="N82" s="546">
        <f t="shared" si="45"/>
        <v>0</v>
      </c>
      <c r="O82" s="64"/>
      <c r="P82" s="64">
        <f t="shared" si="39"/>
        <v>0</v>
      </c>
      <c r="Q82" s="64">
        <f t="shared" si="40"/>
        <v>0</v>
      </c>
      <c r="R82" s="64">
        <f t="shared" si="41"/>
        <v>0</v>
      </c>
      <c r="S82" s="64">
        <f t="shared" si="30"/>
        <v>0</v>
      </c>
      <c r="T82" s="553">
        <f t="shared" si="37"/>
        <v>0</v>
      </c>
      <c r="U82" s="1015"/>
      <c r="V82" s="690">
        <f t="shared" si="46"/>
        <v>0</v>
      </c>
      <c r="W82" s="486"/>
      <c r="X82" s="486"/>
      <c r="Y82" s="486"/>
      <c r="Z82" s="486"/>
      <c r="AA82" s="486"/>
      <c r="AB82" s="486"/>
    </row>
    <row r="83" spans="1:28" s="26" customFormat="1" x14ac:dyDescent="0.25">
      <c r="A83" s="512" t="s">
        <v>159</v>
      </c>
      <c r="B83" s="513" t="s">
        <v>160</v>
      </c>
      <c r="C83" s="638">
        <f>+C84</f>
        <v>1250000</v>
      </c>
      <c r="D83" s="638">
        <f t="shared" ref="D83:F83" si="47">SUM(D84:D85)</f>
        <v>1250000</v>
      </c>
      <c r="E83" s="638">
        <f t="shared" si="47"/>
        <v>1250000</v>
      </c>
      <c r="F83" s="638">
        <f t="shared" si="47"/>
        <v>711030</v>
      </c>
      <c r="G83" s="638"/>
      <c r="H83" s="638">
        <f t="shared" ref="H83:J83" si="48">SUM(H84:H85)</f>
        <v>195390</v>
      </c>
      <c r="I83" s="638">
        <f t="shared" si="48"/>
        <v>216890</v>
      </c>
      <c r="J83" s="638">
        <f t="shared" si="48"/>
        <v>711030</v>
      </c>
      <c r="K83" s="638"/>
      <c r="L83" s="514">
        <f t="shared" si="43"/>
        <v>0.15631200000000001</v>
      </c>
      <c r="M83" s="514">
        <f t="shared" si="44"/>
        <v>0.173512</v>
      </c>
      <c r="N83" s="514">
        <f t="shared" si="45"/>
        <v>0.568824</v>
      </c>
      <c r="O83" s="638"/>
      <c r="P83" s="638">
        <f t="shared" si="39"/>
        <v>0</v>
      </c>
      <c r="Q83" s="638">
        <f t="shared" si="40"/>
        <v>0</v>
      </c>
      <c r="R83" s="638">
        <f t="shared" si="41"/>
        <v>-538970</v>
      </c>
      <c r="S83" s="638">
        <f t="shared" ref="S83:S88" si="49">SUM(P83:R83)</f>
        <v>-538970</v>
      </c>
      <c r="T83" s="553">
        <f t="shared" ref="T83:T88" si="50">IF(C83=0,0,+S83/C83)</f>
        <v>-0.431176</v>
      </c>
      <c r="U83" s="1015"/>
      <c r="V83" s="690">
        <f t="shared" si="46"/>
        <v>0</v>
      </c>
      <c r="W83" s="1008"/>
      <c r="X83" s="1008"/>
      <c r="Y83" s="1008"/>
      <c r="Z83" s="1008"/>
      <c r="AA83" s="1008"/>
      <c r="AB83" s="1008"/>
    </row>
    <row r="84" spans="1:28" x14ac:dyDescent="0.25">
      <c r="A84" s="632"/>
      <c r="B84" s="532"/>
      <c r="C84" s="132">
        <v>1250000</v>
      </c>
      <c r="D84" s="64">
        <v>1250000</v>
      </c>
      <c r="E84" s="64">
        <v>1250000</v>
      </c>
      <c r="F84" s="64">
        <v>711030</v>
      </c>
      <c r="G84" s="64"/>
      <c r="H84" s="64">
        <v>195390</v>
      </c>
      <c r="I84" s="64">
        <v>216890</v>
      </c>
      <c r="J84" s="64">
        <v>711030</v>
      </c>
      <c r="K84" s="64"/>
      <c r="L84" s="703">
        <f t="shared" si="43"/>
        <v>0.15631200000000001</v>
      </c>
      <c r="M84" s="703">
        <f t="shared" si="44"/>
        <v>0.173512</v>
      </c>
      <c r="N84" s="703">
        <f t="shared" si="45"/>
        <v>0.568824</v>
      </c>
      <c r="O84" s="64"/>
      <c r="P84" s="570">
        <f t="shared" si="39"/>
        <v>0</v>
      </c>
      <c r="Q84" s="570">
        <f t="shared" si="40"/>
        <v>0</v>
      </c>
      <c r="R84" s="570">
        <f t="shared" si="41"/>
        <v>-538970</v>
      </c>
      <c r="S84" s="570">
        <f t="shared" si="49"/>
        <v>-538970</v>
      </c>
      <c r="T84" s="553">
        <f t="shared" si="50"/>
        <v>-0.431176</v>
      </c>
      <c r="U84" s="1015"/>
      <c r="V84" s="690">
        <f t="shared" si="46"/>
        <v>0</v>
      </c>
      <c r="W84" s="486"/>
      <c r="X84" s="486"/>
      <c r="Y84" s="486"/>
      <c r="Z84" s="486"/>
      <c r="AA84" s="486"/>
      <c r="AB84" s="486"/>
    </row>
    <row r="85" spans="1:28" hidden="1" x14ac:dyDescent="0.25">
      <c r="A85" s="527"/>
      <c r="B85" s="533"/>
      <c r="C85" s="132"/>
      <c r="D85" s="64"/>
      <c r="E85" s="64"/>
      <c r="F85" s="64"/>
      <c r="G85" s="64"/>
      <c r="H85" s="64"/>
      <c r="I85" s="64"/>
      <c r="J85" s="64"/>
      <c r="K85" s="64"/>
      <c r="L85" s="703">
        <f t="shared" si="43"/>
        <v>0</v>
      </c>
      <c r="M85" s="703">
        <f t="shared" si="44"/>
        <v>0</v>
      </c>
      <c r="N85" s="703">
        <f t="shared" si="45"/>
        <v>0</v>
      </c>
      <c r="O85" s="64"/>
      <c r="P85" s="570">
        <f t="shared" si="39"/>
        <v>0</v>
      </c>
      <c r="Q85" s="570">
        <f t="shared" si="40"/>
        <v>0</v>
      </c>
      <c r="R85" s="570">
        <f t="shared" si="41"/>
        <v>0</v>
      </c>
      <c r="S85" s="570">
        <f t="shared" si="49"/>
        <v>0</v>
      </c>
      <c r="T85" s="553">
        <f t="shared" si="50"/>
        <v>0</v>
      </c>
      <c r="U85" s="1015"/>
      <c r="V85" s="690">
        <f t="shared" si="46"/>
        <v>0</v>
      </c>
      <c r="W85" s="486"/>
      <c r="X85" s="486"/>
      <c r="Y85" s="486"/>
      <c r="Z85" s="486"/>
      <c r="AA85" s="486"/>
      <c r="AB85" s="486"/>
    </row>
    <row r="86" spans="1:28" s="26" customFormat="1" x14ac:dyDescent="0.25">
      <c r="A86" s="512" t="s">
        <v>174</v>
      </c>
      <c r="B86" s="513" t="s">
        <v>175</v>
      </c>
      <c r="C86" s="638">
        <f>SUM(C87:C88)</f>
        <v>0</v>
      </c>
      <c r="D86" s="638">
        <f t="shared" ref="D86:F86" si="51">SUM(D87:D88)</f>
        <v>0</v>
      </c>
      <c r="E86" s="638">
        <f t="shared" si="51"/>
        <v>0</v>
      </c>
      <c r="F86" s="638">
        <f t="shared" si="51"/>
        <v>0</v>
      </c>
      <c r="G86" s="638"/>
      <c r="H86" s="638">
        <f t="shared" ref="H86:J86" si="52">SUM(H87:H88)</f>
        <v>0</v>
      </c>
      <c r="I86" s="638">
        <f t="shared" si="52"/>
        <v>0</v>
      </c>
      <c r="J86" s="638">
        <f t="shared" si="52"/>
        <v>0</v>
      </c>
      <c r="K86" s="638"/>
      <c r="L86" s="514">
        <f t="shared" si="43"/>
        <v>0</v>
      </c>
      <c r="M86" s="514">
        <f t="shared" si="44"/>
        <v>0</v>
      </c>
      <c r="N86" s="514">
        <f t="shared" si="45"/>
        <v>0</v>
      </c>
      <c r="O86" s="638"/>
      <c r="P86" s="638">
        <f t="shared" si="39"/>
        <v>0</v>
      </c>
      <c r="Q86" s="638">
        <f t="shared" si="40"/>
        <v>0</v>
      </c>
      <c r="R86" s="638">
        <f t="shared" si="41"/>
        <v>0</v>
      </c>
      <c r="S86" s="638">
        <f t="shared" si="49"/>
        <v>0</v>
      </c>
      <c r="T86" s="553">
        <f t="shared" si="50"/>
        <v>0</v>
      </c>
      <c r="U86" s="1015"/>
      <c r="V86" s="690">
        <f t="shared" si="46"/>
        <v>0</v>
      </c>
      <c r="W86" s="1008"/>
      <c r="X86" s="1008"/>
      <c r="Y86" s="1008"/>
      <c r="Z86" s="1008"/>
      <c r="AA86" s="1008"/>
      <c r="AB86" s="1008"/>
    </row>
    <row r="87" spans="1:28" x14ac:dyDescent="0.25">
      <c r="A87" s="632"/>
      <c r="B87" s="532"/>
      <c r="C87" s="132"/>
      <c r="D87" s="64"/>
      <c r="E87" s="64"/>
      <c r="F87" s="64"/>
      <c r="G87" s="64"/>
      <c r="H87" s="64"/>
      <c r="I87" s="64"/>
      <c r="J87" s="64"/>
      <c r="K87" s="64"/>
      <c r="L87" s="703">
        <f t="shared" si="43"/>
        <v>0</v>
      </c>
      <c r="M87" s="703">
        <f t="shared" si="44"/>
        <v>0</v>
      </c>
      <c r="N87" s="703">
        <f t="shared" si="45"/>
        <v>0</v>
      </c>
      <c r="O87" s="64"/>
      <c r="P87" s="570">
        <f t="shared" si="39"/>
        <v>0</v>
      </c>
      <c r="Q87" s="570">
        <f t="shared" si="40"/>
        <v>0</v>
      </c>
      <c r="R87" s="570">
        <f t="shared" si="41"/>
        <v>0</v>
      </c>
      <c r="S87" s="570">
        <f t="shared" si="49"/>
        <v>0</v>
      </c>
      <c r="T87" s="553">
        <f t="shared" si="50"/>
        <v>0</v>
      </c>
      <c r="U87" s="1015"/>
      <c r="V87" s="690">
        <f t="shared" si="46"/>
        <v>0</v>
      </c>
      <c r="W87" s="486"/>
      <c r="X87" s="486"/>
      <c r="Y87" s="486"/>
      <c r="Z87" s="486"/>
      <c r="AA87" s="486"/>
      <c r="AB87" s="486"/>
    </row>
    <row r="88" spans="1:28" hidden="1" x14ac:dyDescent="0.25">
      <c r="A88" s="527"/>
      <c r="B88" s="533"/>
      <c r="C88" s="132"/>
      <c r="D88" s="64"/>
      <c r="E88" s="64"/>
      <c r="F88" s="64"/>
      <c r="G88" s="64"/>
      <c r="H88" s="64"/>
      <c r="I88" s="64"/>
      <c r="J88" s="64"/>
      <c r="K88" s="64"/>
      <c r="L88" s="703">
        <f t="shared" si="43"/>
        <v>0</v>
      </c>
      <c r="M88" s="703">
        <f t="shared" si="44"/>
        <v>0</v>
      </c>
      <c r="N88" s="703">
        <f t="shared" si="45"/>
        <v>0</v>
      </c>
      <c r="O88" s="64"/>
      <c r="P88" s="570">
        <f t="shared" si="39"/>
        <v>0</v>
      </c>
      <c r="Q88" s="570">
        <f t="shared" si="40"/>
        <v>0</v>
      </c>
      <c r="R88" s="570">
        <f t="shared" si="41"/>
        <v>0</v>
      </c>
      <c r="S88" s="570">
        <f t="shared" si="49"/>
        <v>0</v>
      </c>
      <c r="T88" s="553">
        <f t="shared" si="50"/>
        <v>0</v>
      </c>
      <c r="U88" s="1015"/>
      <c r="V88" s="690">
        <f t="shared" si="46"/>
        <v>0</v>
      </c>
      <c r="W88" s="486"/>
      <c r="X88" s="486"/>
      <c r="Y88" s="486"/>
      <c r="Z88" s="486"/>
      <c r="AA88" s="486"/>
      <c r="AB88" s="486"/>
    </row>
    <row r="89" spans="1:28" ht="18" customHeight="1" x14ac:dyDescent="0.25">
      <c r="A89" s="720"/>
      <c r="B89" s="147" t="s">
        <v>380</v>
      </c>
      <c r="C89" s="154">
        <f>C13+C29+C32+C83+C86</f>
        <v>33719800</v>
      </c>
      <c r="D89" s="154">
        <f t="shared" ref="D89:J89" si="53">D13+D29+D32+D83+D86</f>
        <v>33719800</v>
      </c>
      <c r="E89" s="154">
        <f t="shared" si="53"/>
        <v>33719800</v>
      </c>
      <c r="F89" s="154">
        <f t="shared" si="53"/>
        <v>29375496</v>
      </c>
      <c r="G89" s="154"/>
      <c r="H89" s="154">
        <f t="shared" si="53"/>
        <v>14405609</v>
      </c>
      <c r="I89" s="154">
        <f t="shared" si="53"/>
        <v>21930957</v>
      </c>
      <c r="J89" s="154">
        <f t="shared" si="53"/>
        <v>28684753</v>
      </c>
      <c r="K89" s="128"/>
      <c r="L89" s="514">
        <f t="shared" si="43"/>
        <v>0.4272151376935806</v>
      </c>
      <c r="M89" s="514">
        <f t="shared" si="44"/>
        <v>0.65038811024976428</v>
      </c>
      <c r="N89" s="514">
        <f t="shared" si="45"/>
        <v>0.85067980830254031</v>
      </c>
      <c r="O89" s="128"/>
      <c r="P89" s="128">
        <f t="shared" si="39"/>
        <v>0</v>
      </c>
      <c r="Q89" s="128">
        <f t="shared" si="40"/>
        <v>0</v>
      </c>
      <c r="R89" s="128">
        <f t="shared" si="41"/>
        <v>-4344304</v>
      </c>
      <c r="S89" s="128">
        <f t="shared" si="30"/>
        <v>-4344304</v>
      </c>
      <c r="T89" s="553">
        <f t="shared" si="37"/>
        <v>-0.12883540234520963</v>
      </c>
      <c r="U89" s="1015"/>
      <c r="V89" s="690">
        <f t="shared" si="46"/>
        <v>0</v>
      </c>
      <c r="W89" s="486"/>
      <c r="X89" s="486"/>
      <c r="Y89" s="486"/>
      <c r="Z89" s="486"/>
      <c r="AA89" s="486"/>
      <c r="AB89" s="486"/>
    </row>
    <row r="90" spans="1:28" ht="10.35" customHeight="1" x14ac:dyDescent="0.25">
      <c r="A90" s="591"/>
      <c r="B90" s="591"/>
      <c r="C90" s="592"/>
      <c r="D90" s="133"/>
      <c r="E90" s="133"/>
      <c r="F90" s="133"/>
      <c r="G90" s="133"/>
      <c r="H90" s="133"/>
      <c r="I90" s="133"/>
      <c r="J90" s="133"/>
      <c r="K90" s="133"/>
      <c r="L90" s="554"/>
      <c r="M90" s="554"/>
      <c r="N90" s="554"/>
      <c r="O90" s="133"/>
      <c r="P90" s="133"/>
      <c r="Q90" s="133"/>
      <c r="R90" s="133"/>
      <c r="S90" s="133"/>
      <c r="T90" s="547"/>
      <c r="U90" s="1019"/>
      <c r="V90" s="690"/>
      <c r="W90" s="1013"/>
      <c r="X90" s="1013"/>
      <c r="Y90" s="486"/>
      <c r="Z90" s="486"/>
      <c r="AA90" s="486"/>
      <c r="AB90" s="486"/>
    </row>
    <row r="91" spans="1:28" ht="10.35" customHeight="1" x14ac:dyDescent="0.25">
      <c r="A91" s="594"/>
      <c r="B91" s="594"/>
      <c r="C91" s="595"/>
      <c r="D91" s="596"/>
      <c r="E91" s="596"/>
      <c r="F91" s="596"/>
      <c r="G91" s="596"/>
      <c r="H91" s="596"/>
      <c r="I91" s="596"/>
      <c r="J91" s="596"/>
      <c r="K91" s="596"/>
      <c r="L91" s="555"/>
      <c r="M91" s="555"/>
      <c r="N91" s="555"/>
      <c r="O91" s="596"/>
      <c r="P91" s="596"/>
      <c r="Q91" s="596"/>
      <c r="R91" s="596"/>
      <c r="S91" s="596"/>
      <c r="T91" s="548"/>
      <c r="U91" s="1020"/>
      <c r="V91" s="923"/>
      <c r="W91" s="1013"/>
      <c r="X91" s="1013"/>
      <c r="Y91" s="486"/>
      <c r="Z91" s="486"/>
      <c r="AA91" s="486"/>
      <c r="AB91" s="486"/>
    </row>
    <row r="92" spans="1:28" ht="10.35" customHeight="1" x14ac:dyDescent="0.25">
      <c r="A92" s="591"/>
      <c r="B92" s="591"/>
      <c r="C92" s="592"/>
      <c r="D92" s="133"/>
      <c r="E92" s="133"/>
      <c r="F92" s="133"/>
      <c r="G92" s="133"/>
      <c r="H92" s="133"/>
      <c r="I92" s="133"/>
      <c r="J92" s="133"/>
      <c r="K92" s="133"/>
      <c r="L92" s="554"/>
      <c r="M92" s="554"/>
      <c r="N92" s="554"/>
      <c r="O92" s="133"/>
      <c r="P92" s="133"/>
      <c r="Q92" s="133"/>
      <c r="R92" s="133"/>
      <c r="S92" s="133"/>
      <c r="T92" s="547"/>
      <c r="U92" s="1019"/>
      <c r="V92" s="690"/>
      <c r="W92" s="1013"/>
      <c r="X92" s="1013"/>
      <c r="Y92" s="486"/>
      <c r="Z92" s="486"/>
      <c r="AA92" s="486"/>
      <c r="AB92" s="486"/>
    </row>
    <row r="93" spans="1:28" ht="12.75" customHeight="1" x14ac:dyDescent="0.25">
      <c r="A93" s="512" t="s">
        <v>242</v>
      </c>
      <c r="B93" s="513" t="s">
        <v>403</v>
      </c>
      <c r="C93" s="130">
        <v>0</v>
      </c>
      <c r="D93" s="131">
        <f>+D94</f>
        <v>0</v>
      </c>
      <c r="E93" s="131">
        <f>+E94</f>
        <v>0</v>
      </c>
      <c r="F93" s="131">
        <f>+F94</f>
        <v>0</v>
      </c>
      <c r="G93" s="131"/>
      <c r="H93" s="131">
        <f>+H94</f>
        <v>0</v>
      </c>
      <c r="I93" s="131">
        <f>+I94</f>
        <v>0</v>
      </c>
      <c r="J93" s="131">
        <f>+J94</f>
        <v>0</v>
      </c>
      <c r="K93" s="131"/>
      <c r="L93" s="514">
        <f t="shared" si="43"/>
        <v>0</v>
      </c>
      <c r="M93" s="514">
        <f t="shared" si="44"/>
        <v>0</v>
      </c>
      <c r="N93" s="514">
        <f t="shared" si="45"/>
        <v>0</v>
      </c>
      <c r="O93" s="131"/>
      <c r="P93" s="131">
        <f t="shared" si="39"/>
        <v>0</v>
      </c>
      <c r="Q93" s="131">
        <f t="shared" si="40"/>
        <v>0</v>
      </c>
      <c r="R93" s="131">
        <f t="shared" si="41"/>
        <v>0</v>
      </c>
      <c r="S93" s="131">
        <f t="shared" si="30"/>
        <v>0</v>
      </c>
      <c r="T93" s="553">
        <f t="shared" si="37"/>
        <v>0</v>
      </c>
      <c r="U93" s="1015"/>
      <c r="V93" s="690">
        <f t="shared" si="46"/>
        <v>0</v>
      </c>
      <c r="W93" s="486"/>
      <c r="X93" s="486"/>
      <c r="Y93" s="486"/>
      <c r="Z93" s="486"/>
      <c r="AA93" s="486"/>
      <c r="AB93" s="486"/>
    </row>
    <row r="94" spans="1:28" ht="12.75" customHeight="1" x14ac:dyDescent="0.25">
      <c r="A94" s="632" t="s">
        <v>262</v>
      </c>
      <c r="B94" s="532" t="s">
        <v>402</v>
      </c>
      <c r="C94" s="1063">
        <v>0</v>
      </c>
      <c r="D94" s="126">
        <v>0</v>
      </c>
      <c r="E94" s="126">
        <v>0</v>
      </c>
      <c r="F94" s="126"/>
      <c r="G94" s="126"/>
      <c r="H94" s="126">
        <v>0</v>
      </c>
      <c r="I94" s="126">
        <f>+H94</f>
        <v>0</v>
      </c>
      <c r="J94" s="126"/>
      <c r="K94" s="126"/>
      <c r="L94" s="703">
        <f t="shared" si="43"/>
        <v>0</v>
      </c>
      <c r="M94" s="703">
        <f t="shared" si="44"/>
        <v>0</v>
      </c>
      <c r="N94" s="703">
        <f t="shared" si="45"/>
        <v>0</v>
      </c>
      <c r="O94" s="126"/>
      <c r="P94" s="570">
        <f t="shared" si="39"/>
        <v>0</v>
      </c>
      <c r="Q94" s="570">
        <f t="shared" si="40"/>
        <v>0</v>
      </c>
      <c r="R94" s="570">
        <f t="shared" si="41"/>
        <v>0</v>
      </c>
      <c r="S94" s="570">
        <f t="shared" si="30"/>
        <v>0</v>
      </c>
      <c r="T94" s="553">
        <f t="shared" si="37"/>
        <v>0</v>
      </c>
      <c r="U94" s="1015"/>
      <c r="V94" s="690">
        <f t="shared" si="46"/>
        <v>0</v>
      </c>
      <c r="W94" s="486"/>
      <c r="X94" s="486"/>
      <c r="Y94" s="486"/>
      <c r="Z94" s="486"/>
      <c r="AA94" s="486"/>
      <c r="AB94" s="486"/>
    </row>
    <row r="95" spans="1:28" s="26" customFormat="1" ht="15" customHeight="1" x14ac:dyDescent="0.25">
      <c r="A95" s="512" t="s">
        <v>285</v>
      </c>
      <c r="B95" s="513" t="s">
        <v>286</v>
      </c>
      <c r="C95" s="130">
        <f>SUM(C96:C98)</f>
        <v>1811000</v>
      </c>
      <c r="D95" s="131">
        <f>+D96+D97+D98</f>
        <v>1811000</v>
      </c>
      <c r="E95" s="131">
        <f>+E96+E97+E98</f>
        <v>1811000</v>
      </c>
      <c r="F95" s="131">
        <f>+F96+F97+F98</f>
        <v>1183416</v>
      </c>
      <c r="G95" s="131"/>
      <c r="H95" s="131">
        <f>+H96+H97+H98</f>
        <v>388380</v>
      </c>
      <c r="I95" s="131">
        <f>+I96+I97+I98</f>
        <v>726634</v>
      </c>
      <c r="J95" s="131">
        <f>+J96+J97+J98</f>
        <v>1199085</v>
      </c>
      <c r="K95" s="131"/>
      <c r="L95" s="514">
        <f t="shared" si="43"/>
        <v>0.21445610160132522</v>
      </c>
      <c r="M95" s="514">
        <f t="shared" si="44"/>
        <v>0.40123357261181669</v>
      </c>
      <c r="N95" s="514">
        <f t="shared" si="45"/>
        <v>0.66211209276642735</v>
      </c>
      <c r="O95" s="131"/>
      <c r="P95" s="131">
        <f t="shared" si="39"/>
        <v>0</v>
      </c>
      <c r="Q95" s="131">
        <f t="shared" si="40"/>
        <v>0</v>
      </c>
      <c r="R95" s="131">
        <f t="shared" si="41"/>
        <v>-627584</v>
      </c>
      <c r="S95" s="131">
        <f t="shared" si="30"/>
        <v>-627584</v>
      </c>
      <c r="T95" s="553">
        <f t="shared" si="37"/>
        <v>-0.3465400331308669</v>
      </c>
      <c r="U95" s="1015"/>
      <c r="V95" s="690">
        <f t="shared" si="46"/>
        <v>0</v>
      </c>
      <c r="W95" s="1008"/>
      <c r="X95" s="1008"/>
      <c r="Y95" s="1008"/>
      <c r="Z95" s="1008"/>
      <c r="AA95" s="1008"/>
      <c r="AB95" s="1008"/>
    </row>
    <row r="96" spans="1:28" s="7" customFormat="1" x14ac:dyDescent="0.25">
      <c r="A96" s="527" t="s">
        <v>288</v>
      </c>
      <c r="B96" s="533" t="s">
        <v>289</v>
      </c>
      <c r="C96" s="1063">
        <v>1800000</v>
      </c>
      <c r="D96" s="126">
        <v>1800000</v>
      </c>
      <c r="E96" s="126">
        <v>1800000</v>
      </c>
      <c r="F96" s="126">
        <v>1172416</v>
      </c>
      <c r="G96" s="126"/>
      <c r="H96" s="126">
        <v>384316</v>
      </c>
      <c r="I96" s="126">
        <v>720316</v>
      </c>
      <c r="J96" s="126">
        <v>1141592</v>
      </c>
      <c r="K96" s="126"/>
      <c r="L96" s="703">
        <f t="shared" si="43"/>
        <v>0.21350888888888889</v>
      </c>
      <c r="M96" s="703">
        <f t="shared" si="44"/>
        <v>0.40017555555555556</v>
      </c>
      <c r="N96" s="703">
        <f t="shared" si="45"/>
        <v>0.63421777777777777</v>
      </c>
      <c r="O96" s="126"/>
      <c r="P96" s="570">
        <f t="shared" ref="P96:P102" si="54">+(D96-C96)*P$10</f>
        <v>0</v>
      </c>
      <c r="Q96" s="570">
        <f t="shared" ref="Q96:Q102" si="55">+(E96-D96)*Q$10</f>
        <v>0</v>
      </c>
      <c r="R96" s="570">
        <f t="shared" ref="R96:R102" si="56">+(F96-E96)*R$10</f>
        <v>-627584</v>
      </c>
      <c r="S96" s="570">
        <f t="shared" ref="S96:S102" si="57">SUM(P96:R96)</f>
        <v>-627584</v>
      </c>
      <c r="T96" s="553">
        <f t="shared" si="37"/>
        <v>-0.34865777777777779</v>
      </c>
      <c r="U96" s="1015"/>
      <c r="V96" s="690">
        <f t="shared" si="46"/>
        <v>0</v>
      </c>
      <c r="W96" s="1064"/>
      <c r="X96" s="1064"/>
      <c r="Y96" s="1064"/>
      <c r="Z96" s="1064"/>
      <c r="AA96" s="1064"/>
      <c r="AB96" s="1064"/>
    </row>
    <row r="97" spans="1:28" x14ac:dyDescent="0.25">
      <c r="A97" s="527" t="s">
        <v>299</v>
      </c>
      <c r="B97" s="533" t="s">
        <v>300</v>
      </c>
      <c r="C97" s="132">
        <v>11000</v>
      </c>
      <c r="D97" s="64">
        <v>11000</v>
      </c>
      <c r="E97" s="64">
        <v>11000</v>
      </c>
      <c r="F97" s="64">
        <v>11000</v>
      </c>
      <c r="G97" s="64"/>
      <c r="H97" s="64">
        <v>2784</v>
      </c>
      <c r="I97" s="64">
        <v>2784</v>
      </c>
      <c r="J97" s="64">
        <v>6908</v>
      </c>
      <c r="K97" s="64"/>
      <c r="L97" s="703">
        <f t="shared" si="43"/>
        <v>0.25309090909090909</v>
      </c>
      <c r="M97" s="703">
        <f t="shared" si="44"/>
        <v>0.25309090909090909</v>
      </c>
      <c r="N97" s="703">
        <f t="shared" si="45"/>
        <v>0.628</v>
      </c>
      <c r="O97" s="64"/>
      <c r="P97" s="570">
        <f t="shared" si="54"/>
        <v>0</v>
      </c>
      <c r="Q97" s="570">
        <f t="shared" si="55"/>
        <v>0</v>
      </c>
      <c r="R97" s="570">
        <f t="shared" si="56"/>
        <v>0</v>
      </c>
      <c r="S97" s="570">
        <f t="shared" si="57"/>
        <v>0</v>
      </c>
      <c r="T97" s="553">
        <f t="shared" si="37"/>
        <v>0</v>
      </c>
      <c r="U97" s="1015"/>
      <c r="V97" s="690">
        <f t="shared" si="46"/>
        <v>0</v>
      </c>
      <c r="W97" s="486"/>
      <c r="X97" s="486"/>
      <c r="Y97" s="486"/>
      <c r="Z97" s="486"/>
      <c r="AA97" s="486"/>
      <c r="AB97" s="486"/>
    </row>
    <row r="98" spans="1:28" ht="27" customHeight="1" x14ac:dyDescent="0.25">
      <c r="A98" s="530" t="s">
        <v>513</v>
      </c>
      <c r="B98" s="530" t="s">
        <v>514</v>
      </c>
      <c r="C98" s="132">
        <v>0</v>
      </c>
      <c r="D98" s="64">
        <v>0</v>
      </c>
      <c r="E98" s="64">
        <v>0</v>
      </c>
      <c r="F98" s="64"/>
      <c r="G98" s="64"/>
      <c r="H98" s="64">
        <v>1280</v>
      </c>
      <c r="I98" s="64">
        <f>84+3450</f>
        <v>3534</v>
      </c>
      <c r="J98" s="64">
        <f>123+50462</f>
        <v>50585</v>
      </c>
      <c r="K98" s="64"/>
      <c r="L98" s="703">
        <f t="shared" si="43"/>
        <v>0</v>
      </c>
      <c r="M98" s="703">
        <f t="shared" si="44"/>
        <v>0</v>
      </c>
      <c r="N98" s="703">
        <f t="shared" si="45"/>
        <v>0</v>
      </c>
      <c r="O98" s="64"/>
      <c r="P98" s="570">
        <f t="shared" si="54"/>
        <v>0</v>
      </c>
      <c r="Q98" s="570">
        <f t="shared" si="55"/>
        <v>0</v>
      </c>
      <c r="R98" s="570">
        <f t="shared" si="56"/>
        <v>0</v>
      </c>
      <c r="S98" s="570">
        <f t="shared" si="57"/>
        <v>0</v>
      </c>
      <c r="T98" s="553">
        <f t="shared" si="37"/>
        <v>0</v>
      </c>
      <c r="U98" s="1015"/>
      <c r="V98" s="690">
        <f t="shared" si="46"/>
        <v>0</v>
      </c>
      <c r="W98" s="486"/>
      <c r="X98" s="486"/>
      <c r="Y98" s="486"/>
      <c r="Z98" s="486"/>
      <c r="AA98" s="486"/>
      <c r="AB98" s="486"/>
    </row>
    <row r="99" spans="1:28" s="26" customFormat="1" x14ac:dyDescent="0.25">
      <c r="A99" s="512" t="s">
        <v>335</v>
      </c>
      <c r="B99" s="513" t="s">
        <v>336</v>
      </c>
      <c r="C99" s="638">
        <f>SUM(C100:C101)</f>
        <v>31908800</v>
      </c>
      <c r="D99" s="638">
        <f t="shared" ref="D99:J99" si="58">SUM(D100:D101)</f>
        <v>31908800</v>
      </c>
      <c r="E99" s="638">
        <f t="shared" si="58"/>
        <v>31908800</v>
      </c>
      <c r="F99" s="638">
        <f t="shared" si="58"/>
        <v>28192080</v>
      </c>
      <c r="G99" s="638"/>
      <c r="H99" s="638">
        <f t="shared" si="58"/>
        <v>14788643</v>
      </c>
      <c r="I99" s="638">
        <f t="shared" si="58"/>
        <v>22936378</v>
      </c>
      <c r="J99" s="638">
        <f t="shared" si="58"/>
        <v>28192080</v>
      </c>
      <c r="K99" s="638"/>
      <c r="L99" s="514">
        <f t="shared" si="43"/>
        <v>0.46346597176954318</v>
      </c>
      <c r="M99" s="514">
        <f t="shared" si="44"/>
        <v>0.7188104222032794</v>
      </c>
      <c r="N99" s="514">
        <f t="shared" si="45"/>
        <v>0.8835205335205335</v>
      </c>
      <c r="O99" s="638"/>
      <c r="P99" s="638">
        <f t="shared" si="54"/>
        <v>0</v>
      </c>
      <c r="Q99" s="638">
        <f t="shared" si="55"/>
        <v>0</v>
      </c>
      <c r="R99" s="638">
        <f t="shared" si="56"/>
        <v>-3716720</v>
      </c>
      <c r="S99" s="638">
        <f t="shared" si="57"/>
        <v>-3716720</v>
      </c>
      <c r="T99" s="553">
        <f t="shared" si="37"/>
        <v>-0.11647946647946648</v>
      </c>
      <c r="U99" s="1015"/>
      <c r="V99" s="690">
        <f t="shared" si="46"/>
        <v>0</v>
      </c>
      <c r="W99" s="1008"/>
      <c r="X99" s="1008"/>
      <c r="Y99" s="1008"/>
      <c r="Z99" s="1008"/>
      <c r="AA99" s="1008"/>
      <c r="AB99" s="1008"/>
    </row>
    <row r="100" spans="1:28" x14ac:dyDescent="0.25">
      <c r="A100" s="632" t="s">
        <v>361</v>
      </c>
      <c r="B100" s="532" t="s">
        <v>393</v>
      </c>
      <c r="C100" s="132">
        <f>C105</f>
        <v>31393194</v>
      </c>
      <c r="D100" s="64">
        <v>31393194</v>
      </c>
      <c r="E100" s="64">
        <v>31393194</v>
      </c>
      <c r="F100" s="64">
        <v>27676474</v>
      </c>
      <c r="G100" s="64"/>
      <c r="H100" s="64">
        <v>14273037</v>
      </c>
      <c r="I100" s="64">
        <v>22420772</v>
      </c>
      <c r="J100" s="64">
        <v>27676474</v>
      </c>
      <c r="K100" s="64"/>
      <c r="L100" s="703">
        <f t="shared" si="43"/>
        <v>0.45465386542063863</v>
      </c>
      <c r="M100" s="703">
        <f t="shared" si="44"/>
        <v>0.71419212712156654</v>
      </c>
      <c r="N100" s="703">
        <f t="shared" si="45"/>
        <v>0.88160745924737705</v>
      </c>
      <c r="O100" s="64"/>
      <c r="P100" s="570">
        <f t="shared" si="54"/>
        <v>0</v>
      </c>
      <c r="Q100" s="570">
        <f t="shared" si="55"/>
        <v>0</v>
      </c>
      <c r="R100" s="570">
        <f t="shared" si="56"/>
        <v>-3716720</v>
      </c>
      <c r="S100" s="570">
        <f t="shared" si="57"/>
        <v>-3716720</v>
      </c>
      <c r="T100" s="553">
        <f t="shared" si="37"/>
        <v>-0.11839254075262301</v>
      </c>
      <c r="U100" s="1015"/>
      <c r="V100" s="690">
        <f t="shared" si="46"/>
        <v>0</v>
      </c>
      <c r="W100" s="486"/>
      <c r="X100" s="486"/>
      <c r="Y100" s="486"/>
      <c r="Z100" s="486"/>
      <c r="AA100" s="486"/>
      <c r="AB100" s="486"/>
    </row>
    <row r="101" spans="1:28" x14ac:dyDescent="0.25">
      <c r="A101" s="527" t="s">
        <v>349</v>
      </c>
      <c r="B101" s="533" t="s">
        <v>350</v>
      </c>
      <c r="C101" s="170">
        <v>515606</v>
      </c>
      <c r="D101" s="64">
        <v>515606</v>
      </c>
      <c r="E101" s="64">
        <v>515606</v>
      </c>
      <c r="F101" s="64">
        <v>515606</v>
      </c>
      <c r="G101" s="64"/>
      <c r="H101" s="64">
        <v>515606</v>
      </c>
      <c r="I101" s="64">
        <v>515606</v>
      </c>
      <c r="J101" s="64">
        <v>515606</v>
      </c>
      <c r="K101" s="64"/>
      <c r="L101" s="703">
        <f t="shared" si="43"/>
        <v>1</v>
      </c>
      <c r="M101" s="703">
        <f t="shared" si="44"/>
        <v>1</v>
      </c>
      <c r="N101" s="703">
        <f t="shared" si="45"/>
        <v>1</v>
      </c>
      <c r="O101" s="64"/>
      <c r="P101" s="570">
        <f t="shared" si="54"/>
        <v>0</v>
      </c>
      <c r="Q101" s="570">
        <f t="shared" si="55"/>
        <v>0</v>
      </c>
      <c r="R101" s="570">
        <f t="shared" si="56"/>
        <v>0</v>
      </c>
      <c r="S101" s="570">
        <f t="shared" si="57"/>
        <v>0</v>
      </c>
      <c r="T101" s="553">
        <f t="shared" si="37"/>
        <v>0</v>
      </c>
      <c r="U101" s="1015"/>
      <c r="V101" s="690">
        <f t="shared" si="46"/>
        <v>0</v>
      </c>
      <c r="W101" s="486"/>
      <c r="X101" s="486"/>
      <c r="Y101" s="486"/>
      <c r="Z101" s="486"/>
      <c r="AA101" s="486"/>
      <c r="AB101" s="486"/>
    </row>
    <row r="102" spans="1:28" ht="23.25" customHeight="1" x14ac:dyDescent="0.25">
      <c r="A102" s="149"/>
      <c r="B102" s="149" t="s">
        <v>379</v>
      </c>
      <c r="C102" s="128">
        <f>+C93+C95+C99</f>
        <v>33719800</v>
      </c>
      <c r="D102" s="128">
        <f>+D93+D95+D99</f>
        <v>33719800</v>
      </c>
      <c r="E102" s="128">
        <f>+E93+E95+E99</f>
        <v>33719800</v>
      </c>
      <c r="F102" s="128">
        <f>+F93+F95+F99</f>
        <v>29375496</v>
      </c>
      <c r="G102" s="128"/>
      <c r="H102" s="128">
        <f>+H93+H95+H99</f>
        <v>15177023</v>
      </c>
      <c r="I102" s="128">
        <f>+I93+I95+I99</f>
        <v>23663012</v>
      </c>
      <c r="J102" s="128">
        <f>+J93+J95+J99</f>
        <v>29391165</v>
      </c>
      <c r="K102" s="128"/>
      <c r="L102" s="514">
        <f t="shared" si="43"/>
        <v>0.45009231964602398</v>
      </c>
      <c r="M102" s="514">
        <f t="shared" si="44"/>
        <v>0.70175422155528799</v>
      </c>
      <c r="N102" s="514">
        <f t="shared" si="45"/>
        <v>0.87162928012621665</v>
      </c>
      <c r="O102" s="128"/>
      <c r="P102" s="128">
        <f t="shared" si="54"/>
        <v>0</v>
      </c>
      <c r="Q102" s="128">
        <f t="shared" si="55"/>
        <v>0</v>
      </c>
      <c r="R102" s="128">
        <f t="shared" si="56"/>
        <v>-4344304</v>
      </c>
      <c r="S102" s="128">
        <f t="shared" si="57"/>
        <v>-4344304</v>
      </c>
      <c r="T102" s="553">
        <f t="shared" si="37"/>
        <v>-0.12883540234520963</v>
      </c>
      <c r="U102" s="1015"/>
      <c r="V102" s="690">
        <f>+S102-F102+C102</f>
        <v>0</v>
      </c>
      <c r="W102" s="486"/>
      <c r="X102" s="486"/>
      <c r="Y102" s="486"/>
      <c r="Z102" s="486"/>
      <c r="AA102" s="486"/>
      <c r="AB102" s="486"/>
    </row>
    <row r="103" spans="1:28" x14ac:dyDescent="0.25">
      <c r="A103" s="537"/>
      <c r="B103" s="537"/>
      <c r="C103" s="133"/>
      <c r="D103" s="592"/>
      <c r="E103" s="592"/>
      <c r="F103" s="592"/>
      <c r="G103" s="592"/>
      <c r="H103" s="592"/>
      <c r="I103" s="592"/>
      <c r="J103" s="592"/>
      <c r="K103" s="592"/>
      <c r="L103" s="554"/>
      <c r="M103" s="554"/>
      <c r="N103" s="554"/>
      <c r="O103" s="592"/>
      <c r="P103" s="592"/>
      <c r="Q103" s="592"/>
      <c r="R103" s="592"/>
      <c r="S103" s="592"/>
      <c r="T103" s="494"/>
      <c r="U103" s="494"/>
      <c r="V103" s="494"/>
    </row>
    <row r="104" spans="1:28" x14ac:dyDescent="0.25">
      <c r="A104" s="537"/>
      <c r="B104" s="537"/>
      <c r="C104" s="133"/>
      <c r="D104" s="133"/>
      <c r="E104" s="133"/>
      <c r="F104" s="133"/>
      <c r="G104" s="133"/>
      <c r="H104" s="133"/>
      <c r="I104" s="133"/>
      <c r="J104" s="133"/>
      <c r="K104" s="133"/>
      <c r="L104" s="554"/>
      <c r="M104" s="554"/>
      <c r="N104" s="554"/>
      <c r="O104" s="133"/>
      <c r="P104" s="133"/>
      <c r="Q104" s="133"/>
      <c r="R104" s="133"/>
      <c r="S104" s="133"/>
      <c r="T104" s="494"/>
      <c r="U104" s="494"/>
      <c r="V104" s="494"/>
    </row>
    <row r="105" spans="1:28" x14ac:dyDescent="0.25">
      <c r="C105" s="114">
        <f>+C89-C95-C101</f>
        <v>31393194</v>
      </c>
      <c r="D105" s="114"/>
      <c r="E105" s="114"/>
      <c r="F105" s="114"/>
      <c r="G105" s="114"/>
      <c r="H105" s="114"/>
      <c r="I105" s="114"/>
      <c r="J105" s="114"/>
      <c r="K105" s="114"/>
      <c r="L105" s="1066"/>
      <c r="M105" s="1066"/>
      <c r="N105" s="1066"/>
      <c r="O105" s="114"/>
      <c r="P105" s="114"/>
      <c r="Q105" s="114"/>
      <c r="R105" s="114"/>
      <c r="S105" s="114"/>
    </row>
    <row r="106" spans="1:28" x14ac:dyDescent="0.25">
      <c r="C106" s="114"/>
      <c r="D106" s="114"/>
      <c r="E106" s="114"/>
      <c r="F106" s="114"/>
      <c r="G106" s="114"/>
      <c r="H106" s="114"/>
      <c r="I106" s="114"/>
      <c r="J106" s="114"/>
      <c r="K106" s="114"/>
      <c r="L106" s="1066"/>
      <c r="M106" s="1066"/>
      <c r="N106" s="1066"/>
      <c r="O106" s="114"/>
      <c r="P106" s="114"/>
      <c r="Q106" s="114"/>
      <c r="R106" s="114"/>
      <c r="S106" s="114"/>
    </row>
    <row r="107" spans="1:28" x14ac:dyDescent="0.25">
      <c r="A107" s="34"/>
      <c r="B107" s="34" t="s">
        <v>511</v>
      </c>
      <c r="C107" s="114">
        <v>10078090</v>
      </c>
      <c r="D107" s="114"/>
      <c r="E107" s="114"/>
      <c r="F107" s="114"/>
      <c r="G107" s="114"/>
      <c r="H107" s="114"/>
      <c r="I107" s="114"/>
      <c r="J107" s="114"/>
      <c r="K107" s="114"/>
      <c r="L107" s="1066"/>
      <c r="M107" s="1066"/>
      <c r="N107" s="1066"/>
      <c r="O107" s="114"/>
      <c r="P107" s="114"/>
      <c r="Q107" s="114"/>
      <c r="R107" s="114"/>
      <c r="S107" s="114"/>
    </row>
    <row r="108" spans="1:28" x14ac:dyDescent="0.25">
      <c r="B108" s="34" t="s">
        <v>512</v>
      </c>
      <c r="C108" s="114">
        <f>+C100-C107</f>
        <v>21315104</v>
      </c>
      <c r="D108" s="114"/>
      <c r="E108" s="114"/>
      <c r="F108" s="114"/>
      <c r="G108" s="114"/>
      <c r="H108" s="114"/>
      <c r="I108" s="114"/>
      <c r="J108" s="114"/>
      <c r="K108" s="114"/>
      <c r="L108" s="1066"/>
      <c r="M108" s="1066"/>
      <c r="N108" s="1066"/>
      <c r="O108" s="114"/>
      <c r="P108" s="114"/>
      <c r="Q108" s="114"/>
      <c r="R108" s="114"/>
      <c r="S108" s="114"/>
    </row>
    <row r="109" spans="1:28" x14ac:dyDescent="0.25">
      <c r="C109" s="114"/>
      <c r="D109" s="114"/>
      <c r="E109" s="114"/>
      <c r="F109" s="114"/>
      <c r="G109" s="114"/>
      <c r="H109" s="114"/>
      <c r="I109" s="114"/>
      <c r="J109" s="114"/>
      <c r="K109" s="114"/>
      <c r="L109" s="1066"/>
      <c r="M109" s="1066"/>
      <c r="N109" s="1066"/>
      <c r="O109" s="114"/>
      <c r="P109" s="114"/>
      <c r="Q109" s="114"/>
      <c r="R109" s="114"/>
      <c r="S109" s="114"/>
    </row>
  </sheetData>
  <mergeCells count="5">
    <mergeCell ref="C9:F9"/>
    <mergeCell ref="H9:N9"/>
    <mergeCell ref="P9:T9"/>
    <mergeCell ref="H10:J10"/>
    <mergeCell ref="L10:N10"/>
  </mergeCells>
  <phoneticPr fontId="2" type="noConversion"/>
  <printOptions horizontalCentered="1"/>
  <pageMargins left="0" right="0" top="0.59055118110236227" bottom="0.19685039370078741" header="0.51181102362204722" footer="0.51181102362204722"/>
  <pageSetup paperSize="9" scale="53" fitToHeight="0" orientation="landscape" r:id="rId1"/>
  <headerFooter alignWithMargins="0">
    <oddHeader>&amp;R&amp;"Arial,Félkövér dőlt"&amp;A  /&amp;"Arial,Normál"
&amp;"Arial,Dőlt"&amp;8&amp;F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7"/>
  <sheetViews>
    <sheetView view="pageBreakPreview" topLeftCell="A83" zoomScale="75" zoomScaleNormal="100" zoomScaleSheetLayoutView="75" workbookViewId="0">
      <selection activeCell="W104" sqref="A1:W104"/>
    </sheetView>
  </sheetViews>
  <sheetFormatPr defaultRowHeight="12.75" customHeight="1" x14ac:dyDescent="0.25"/>
  <cols>
    <col min="1" max="1" width="6.44140625" style="9" bestFit="1" customWidth="1"/>
    <col min="2" max="2" width="48.5546875" style="9" customWidth="1"/>
    <col min="3" max="6" width="15.5546875" style="9" customWidth="1"/>
    <col min="7" max="7" width="1.5546875" style="9" customWidth="1"/>
    <col min="8" max="10" width="15.5546875" style="9" customWidth="1"/>
    <col min="11" max="11" width="1.5546875" style="9" customWidth="1"/>
    <col min="12" max="14" width="10.5546875" style="9" customWidth="1"/>
    <col min="15" max="15" width="1.5546875" style="9" customWidth="1"/>
    <col min="16" max="19" width="14.5546875" style="9" customWidth="1"/>
    <col min="21" max="21" width="0.6640625" customWidth="1"/>
    <col min="22" max="22" width="4" customWidth="1"/>
    <col min="23" max="23" width="14.5546875" bestFit="1" customWidth="1"/>
  </cols>
  <sheetData>
    <row r="1" spans="1:27" ht="24.6" x14ac:dyDescent="0.4">
      <c r="A1" s="119" t="s">
        <v>432</v>
      </c>
      <c r="B1" s="489"/>
      <c r="C1" s="489"/>
      <c r="D1" s="489"/>
      <c r="E1" s="537"/>
      <c r="F1" s="537"/>
      <c r="G1" s="490"/>
      <c r="H1" s="491"/>
      <c r="I1" s="83"/>
      <c r="J1" s="492" t="str">
        <f>+'1. Sülysáp összesen'!J1</f>
        <v>2018. ÉV KÖLTSÉGVETÉS</v>
      </c>
      <c r="K1" s="83"/>
      <c r="L1" s="491"/>
      <c r="M1" s="491"/>
      <c r="N1" s="491"/>
      <c r="O1" s="537"/>
      <c r="P1" s="491"/>
      <c r="Q1" s="491"/>
      <c r="R1" s="491"/>
      <c r="S1" s="491"/>
      <c r="T1" s="491"/>
      <c r="U1" s="491"/>
      <c r="V1" s="491"/>
      <c r="W1" s="491"/>
      <c r="X1" s="80"/>
      <c r="Y1" s="28"/>
      <c r="Z1" s="28"/>
      <c r="AA1" s="28"/>
    </row>
    <row r="2" spans="1:27" ht="13.2" x14ac:dyDescent="0.25">
      <c r="A2" s="557"/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8"/>
      <c r="W2" s="557"/>
      <c r="X2" s="46"/>
    </row>
    <row r="3" spans="1:27" ht="13.2" x14ac:dyDescent="0.25">
      <c r="A3" s="557"/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687"/>
      <c r="W3" s="557"/>
      <c r="X3" s="46"/>
    </row>
    <row r="4" spans="1:27" ht="13.2" x14ac:dyDescent="0.25">
      <c r="A4" s="559"/>
      <c r="B4" s="496"/>
      <c r="C4" s="560"/>
      <c r="D4" s="560"/>
      <c r="E4" s="560"/>
      <c r="F4" s="560"/>
      <c r="G4" s="560"/>
      <c r="H4" s="560"/>
      <c r="I4" s="560"/>
      <c r="J4" s="560"/>
      <c r="K4" s="560"/>
      <c r="L4" s="496"/>
      <c r="M4" s="496"/>
      <c r="N4" s="496"/>
      <c r="O4" s="560"/>
      <c r="P4" s="560"/>
      <c r="Q4" s="560"/>
      <c r="R4" s="560"/>
      <c r="S4" s="560"/>
      <c r="T4" s="560"/>
      <c r="U4" s="496"/>
      <c r="V4" s="692" t="str">
        <f>+'1. Sülysáp összesen'!V5</f>
        <v>F-oszlop</v>
      </c>
      <c r="W4" s="557"/>
      <c r="X4" s="46"/>
    </row>
    <row r="5" spans="1:27" ht="20.100000000000001" customHeight="1" x14ac:dyDescent="0.25">
      <c r="A5" s="561"/>
      <c r="B5" s="561" t="s">
        <v>380</v>
      </c>
      <c r="C5" s="562">
        <f>+C89</f>
        <v>101873641.25</v>
      </c>
      <c r="D5" s="562">
        <f t="shared" ref="D5:E5" si="0">+D89</f>
        <v>106636141</v>
      </c>
      <c r="E5" s="562">
        <f t="shared" si="0"/>
        <v>106636141</v>
      </c>
      <c r="F5" s="562">
        <f>+F89</f>
        <v>109136141</v>
      </c>
      <c r="G5" s="562"/>
      <c r="H5" s="562">
        <f>+H89</f>
        <v>56921071</v>
      </c>
      <c r="I5" s="562">
        <f t="shared" ref="I5:J5" si="1">+I89</f>
        <v>73340181</v>
      </c>
      <c r="J5" s="562">
        <f t="shared" si="1"/>
        <v>101584271</v>
      </c>
      <c r="K5" s="131"/>
      <c r="L5" s="563">
        <f>IF(C5=0,0,H5/C5)</f>
        <v>0.55874189144093245</v>
      </c>
      <c r="M5" s="563">
        <f>IF(D5=0,0,I5/D5)</f>
        <v>0.68776101903387521</v>
      </c>
      <c r="N5" s="563">
        <f>IF(E5=0,0,J5/E5)</f>
        <v>0.95262516110743356</v>
      </c>
      <c r="O5" s="131"/>
      <c r="P5" s="562">
        <f>+P89</f>
        <v>4762499.75</v>
      </c>
      <c r="Q5" s="562">
        <f>+Q89</f>
        <v>0</v>
      </c>
      <c r="R5" s="562">
        <f>+R89</f>
        <v>2500000</v>
      </c>
      <c r="S5" s="562">
        <f>+S89</f>
        <v>7262499.75</v>
      </c>
      <c r="T5" s="564">
        <f>IF(C5=0,0,+S5/C5)</f>
        <v>7.1289291919758482E-2</v>
      </c>
      <c r="U5" s="565"/>
      <c r="V5" s="688">
        <f>+S5-F5+C5</f>
        <v>0</v>
      </c>
      <c r="W5" s="557"/>
      <c r="X5" s="46"/>
    </row>
    <row r="6" spans="1:27" ht="20.100000000000001" customHeight="1" x14ac:dyDescent="0.25">
      <c r="A6" s="566"/>
      <c r="B6" s="566" t="s">
        <v>379</v>
      </c>
      <c r="C6" s="567">
        <f>+C102</f>
        <v>101873641.25</v>
      </c>
      <c r="D6" s="567">
        <f t="shared" ref="D6:J6" si="2">+D102</f>
        <v>106636141</v>
      </c>
      <c r="E6" s="567">
        <f t="shared" si="2"/>
        <v>106636141</v>
      </c>
      <c r="F6" s="567">
        <f t="shared" si="2"/>
        <v>109136141</v>
      </c>
      <c r="G6" s="567"/>
      <c r="H6" s="567">
        <f t="shared" si="2"/>
        <v>60622129</v>
      </c>
      <c r="I6" s="567">
        <f t="shared" si="2"/>
        <v>81012743</v>
      </c>
      <c r="J6" s="567">
        <f t="shared" si="2"/>
        <v>106393525</v>
      </c>
      <c r="K6" s="128"/>
      <c r="L6" s="563">
        <f t="shared" ref="L6:L7" si="3">IF(C6=0,0,H6/C6)</f>
        <v>0.59507177966901226</v>
      </c>
      <c r="M6" s="563">
        <f t="shared" ref="M6:M7" si="4">IF(D6=0,0,I6/D6)</f>
        <v>0.75971187854594247</v>
      </c>
      <c r="N6" s="563">
        <f t="shared" ref="N6:N7" si="5">IF(E6=0,0,J6/E6)</f>
        <v>0.99772482389436801</v>
      </c>
      <c r="O6" s="128"/>
      <c r="P6" s="567">
        <f>+P102</f>
        <v>4762499.75</v>
      </c>
      <c r="Q6" s="567">
        <f t="shared" ref="Q6:S6" si="6">+Q102</f>
        <v>0</v>
      </c>
      <c r="R6" s="567">
        <f t="shared" si="6"/>
        <v>2500000</v>
      </c>
      <c r="S6" s="567">
        <f t="shared" si="6"/>
        <v>7262499.75</v>
      </c>
      <c r="T6" s="563">
        <f>IF(C6=0,0,+S6/C6)</f>
        <v>7.1289291919758482E-2</v>
      </c>
      <c r="U6" s="565"/>
      <c r="V6" s="688">
        <f t="shared" ref="V6:V7" si="7">+S6-F6+C6</f>
        <v>0</v>
      </c>
      <c r="W6" s="557"/>
      <c r="X6" s="46"/>
    </row>
    <row r="7" spans="1:27" ht="20.100000000000001" customHeight="1" x14ac:dyDescent="0.25">
      <c r="A7" s="566"/>
      <c r="B7" s="566" t="s">
        <v>416</v>
      </c>
      <c r="C7" s="567">
        <f>+C6-C5</f>
        <v>0</v>
      </c>
      <c r="D7" s="567">
        <f t="shared" ref="D7:H7" si="8">+D6-D5</f>
        <v>0</v>
      </c>
      <c r="E7" s="567">
        <f t="shared" si="8"/>
        <v>0</v>
      </c>
      <c r="F7" s="567">
        <f t="shared" si="8"/>
        <v>0</v>
      </c>
      <c r="G7" s="567"/>
      <c r="H7" s="567">
        <f t="shared" si="8"/>
        <v>3701058</v>
      </c>
      <c r="I7" s="567">
        <f>+I6-I5</f>
        <v>7672562</v>
      </c>
      <c r="J7" s="567">
        <f t="shared" ref="J7" si="9">+J6-J5</f>
        <v>4809254</v>
      </c>
      <c r="K7" s="128"/>
      <c r="L7" s="563">
        <f t="shared" si="3"/>
        <v>0</v>
      </c>
      <c r="M7" s="563">
        <f t="shared" si="4"/>
        <v>0</v>
      </c>
      <c r="N7" s="563">
        <f t="shared" si="5"/>
        <v>0</v>
      </c>
      <c r="O7" s="128"/>
      <c r="P7" s="567">
        <f t="shared" ref="P7:S7" si="10">+P6-P5</f>
        <v>0</v>
      </c>
      <c r="Q7" s="567">
        <f t="shared" si="10"/>
        <v>0</v>
      </c>
      <c r="R7" s="567">
        <f t="shared" si="10"/>
        <v>0</v>
      </c>
      <c r="S7" s="567">
        <f t="shared" si="10"/>
        <v>0</v>
      </c>
      <c r="T7" s="563">
        <f>IF(C7=0,0,+S7/C7)</f>
        <v>0</v>
      </c>
      <c r="U7" s="565"/>
      <c r="V7" s="688">
        <f t="shared" si="7"/>
        <v>0</v>
      </c>
      <c r="W7" s="557"/>
      <c r="X7" s="46"/>
    </row>
    <row r="8" spans="1:27" ht="13.2" x14ac:dyDescent="0.25">
      <c r="A8" s="568"/>
      <c r="B8" s="569"/>
      <c r="C8" s="570"/>
      <c r="D8" s="571"/>
      <c r="E8" s="571"/>
      <c r="F8" s="571"/>
      <c r="G8" s="572"/>
      <c r="H8" s="572"/>
      <c r="I8" s="572"/>
      <c r="J8" s="572"/>
      <c r="K8" s="572"/>
      <c r="L8" s="518"/>
      <c r="M8" s="518"/>
      <c r="N8" s="518"/>
      <c r="O8" s="572"/>
      <c r="P8" s="503"/>
      <c r="Q8" s="503"/>
      <c r="R8" s="503"/>
      <c r="S8" s="503"/>
      <c r="T8" s="511"/>
      <c r="U8" s="152"/>
      <c r="V8" s="153"/>
      <c r="W8" s="557"/>
      <c r="X8" s="46"/>
    </row>
    <row r="9" spans="1:27" ht="15.6" x14ac:dyDescent="0.25">
      <c r="A9" s="573"/>
      <c r="B9" s="574"/>
      <c r="C9" s="1093" t="s">
        <v>415</v>
      </c>
      <c r="D9" s="1116"/>
      <c r="E9" s="1116"/>
      <c r="F9" s="1117"/>
      <c r="G9" s="575"/>
      <c r="H9" s="1093" t="s">
        <v>414</v>
      </c>
      <c r="I9" s="1116"/>
      <c r="J9" s="1116"/>
      <c r="K9" s="1116"/>
      <c r="L9" s="1116"/>
      <c r="M9" s="1116"/>
      <c r="N9" s="1117"/>
      <c r="O9" s="575"/>
      <c r="P9" s="1093" t="s">
        <v>411</v>
      </c>
      <c r="Q9" s="1116"/>
      <c r="R9" s="1116"/>
      <c r="S9" s="1116"/>
      <c r="T9" s="1117"/>
      <c r="U9" s="576"/>
      <c r="V9" s="153"/>
      <c r="W9" s="557"/>
      <c r="X9" s="46"/>
    </row>
    <row r="10" spans="1:27" ht="13.2" x14ac:dyDescent="0.25">
      <c r="A10" s="559"/>
      <c r="B10" s="496"/>
      <c r="C10" s="577"/>
      <c r="D10" s="560"/>
      <c r="E10" s="560"/>
      <c r="F10" s="578"/>
      <c r="G10" s="61"/>
      <c r="H10" s="1096" t="s">
        <v>424</v>
      </c>
      <c r="I10" s="1118"/>
      <c r="J10" s="1119"/>
      <c r="K10" s="61"/>
      <c r="L10" s="1096" t="s">
        <v>423</v>
      </c>
      <c r="M10" s="1118"/>
      <c r="N10" s="1119"/>
      <c r="O10" s="61"/>
      <c r="P10" s="579">
        <f>+' 2. Önk. Bevételek'!P8</f>
        <v>1</v>
      </c>
      <c r="Q10" s="579">
        <f>+' 2. Önk. Bevételek'!Q8</f>
        <v>1</v>
      </c>
      <c r="R10" s="579">
        <f>+' 2. Önk. Bevételek'!R8</f>
        <v>1</v>
      </c>
      <c r="S10" s="579"/>
      <c r="T10" s="579"/>
      <c r="U10" s="580"/>
      <c r="V10" s="581"/>
      <c r="W10" s="582"/>
      <c r="X10" s="51"/>
      <c r="Y10" s="51"/>
      <c r="Z10" s="51"/>
    </row>
    <row r="11" spans="1:27" ht="61.2" x14ac:dyDescent="0.25">
      <c r="A11" s="19" t="s">
        <v>375</v>
      </c>
      <c r="B11" s="19" t="s">
        <v>373</v>
      </c>
      <c r="C11" s="163" t="s">
        <v>484</v>
      </c>
      <c r="D11" s="141" t="s">
        <v>485</v>
      </c>
      <c r="E11" s="141" t="s">
        <v>486</v>
      </c>
      <c r="F11" s="164" t="s">
        <v>487</v>
      </c>
      <c r="G11" s="141"/>
      <c r="H11" s="160" t="s">
        <v>497</v>
      </c>
      <c r="I11" s="142" t="s">
        <v>498</v>
      </c>
      <c r="J11" s="142" t="s">
        <v>499</v>
      </c>
      <c r="K11" s="141"/>
      <c r="L11" s="143" t="s">
        <v>500</v>
      </c>
      <c r="M11" s="143" t="s">
        <v>502</v>
      </c>
      <c r="N11" s="161" t="s">
        <v>501</v>
      </c>
      <c r="O11" s="141"/>
      <c r="P11" s="160" t="s">
        <v>494</v>
      </c>
      <c r="Q11" s="142" t="s">
        <v>495</v>
      </c>
      <c r="R11" s="142" t="s">
        <v>496</v>
      </c>
      <c r="S11" s="142" t="s">
        <v>412</v>
      </c>
      <c r="T11" s="161" t="s">
        <v>413</v>
      </c>
      <c r="U11" s="74"/>
      <c r="V11" s="52" t="s">
        <v>417</v>
      </c>
      <c r="W11" s="557"/>
      <c r="X11" s="46"/>
    </row>
    <row r="12" spans="1:27" ht="12.75" customHeight="1" x14ac:dyDescent="0.25">
      <c r="A12" s="527"/>
      <c r="B12" s="533"/>
      <c r="C12" s="125"/>
      <c r="D12" s="126"/>
      <c r="E12" s="126"/>
      <c r="F12" s="126"/>
      <c r="G12" s="126"/>
      <c r="H12" s="126"/>
      <c r="I12" s="126"/>
      <c r="J12" s="126"/>
      <c r="K12" s="126"/>
      <c r="L12" s="916"/>
      <c r="M12" s="916"/>
      <c r="N12" s="916"/>
      <c r="O12" s="126"/>
      <c r="P12" s="126"/>
      <c r="Q12" s="126"/>
      <c r="R12" s="126"/>
      <c r="S12" s="126"/>
      <c r="T12" s="543"/>
      <c r="U12" s="494"/>
      <c r="V12" s="494"/>
      <c r="W12" s="494"/>
    </row>
    <row r="13" spans="1:27" ht="12.75" customHeight="1" x14ac:dyDescent="0.25">
      <c r="A13" s="720" t="s">
        <v>0</v>
      </c>
      <c r="B13" s="149" t="s">
        <v>3</v>
      </c>
      <c r="C13" s="127">
        <f>SUM(C14:C28)</f>
        <v>28479750</v>
      </c>
      <c r="D13" s="127">
        <f t="shared" ref="D13:J13" si="11">SUM(D14:D28)</f>
        <v>28479750</v>
      </c>
      <c r="E13" s="127">
        <f t="shared" si="11"/>
        <v>28479750</v>
      </c>
      <c r="F13" s="127">
        <f t="shared" si="11"/>
        <v>28268044</v>
      </c>
      <c r="G13" s="127"/>
      <c r="H13" s="127">
        <f t="shared" si="11"/>
        <v>12457606</v>
      </c>
      <c r="I13" s="127">
        <f t="shared" si="11"/>
        <v>18355959</v>
      </c>
      <c r="J13" s="127">
        <f t="shared" si="11"/>
        <v>25382833</v>
      </c>
      <c r="K13" s="127"/>
      <c r="L13" s="514">
        <f t="shared" ref="L13:L76" si="12">IF(C13=0,0,H13/C13)</f>
        <v>0.43741978072138976</v>
      </c>
      <c r="M13" s="514">
        <f t="shared" ref="M13:M76" si="13">IF(D13=0,0,I13/D13)</f>
        <v>0.64452669001659069</v>
      </c>
      <c r="N13" s="514">
        <f t="shared" ref="N13:N76" si="14">IF(E13=0,0,J13/E13)</f>
        <v>0.89125898225932465</v>
      </c>
      <c r="O13" s="127"/>
      <c r="P13" s="128">
        <f t="shared" ref="P13:P14" si="15">+(D13-C13)*P$10</f>
        <v>0</v>
      </c>
      <c r="Q13" s="128">
        <f t="shared" ref="Q13:Q14" si="16">+(E13-D13)*Q$10</f>
        <v>0</v>
      </c>
      <c r="R13" s="128">
        <f t="shared" ref="R13:R14" si="17">+(F13-E13)*R$10</f>
        <v>-211706</v>
      </c>
      <c r="S13" s="128">
        <f t="shared" ref="S13:S14" si="18">SUM(P13:R13)</f>
        <v>-211706</v>
      </c>
      <c r="T13" s="552">
        <f>IF('8. WAMKK'!C13=0,0,+S13/'8. WAMKK'!C13)</f>
        <v>-1.3969567397788159E-2</v>
      </c>
      <c r="U13" s="152"/>
      <c r="V13" s="690">
        <f>+S13-F13+C13</f>
        <v>0</v>
      </c>
      <c r="W13" s="494"/>
    </row>
    <row r="14" spans="1:27" ht="12.75" customHeight="1" x14ac:dyDescent="0.25">
      <c r="A14" s="527" t="s">
        <v>1</v>
      </c>
      <c r="B14" s="533"/>
      <c r="C14" s="125"/>
      <c r="D14" s="126"/>
      <c r="E14" s="126"/>
      <c r="F14" s="126"/>
      <c r="G14" s="126"/>
      <c r="H14" s="126"/>
      <c r="I14" s="126"/>
      <c r="J14" s="126"/>
      <c r="K14" s="126"/>
      <c r="L14" s="518">
        <f t="shared" si="12"/>
        <v>0</v>
      </c>
      <c r="M14" s="518">
        <f t="shared" si="13"/>
        <v>0</v>
      </c>
      <c r="N14" s="518">
        <f t="shared" si="14"/>
        <v>0</v>
      </c>
      <c r="O14" s="126"/>
      <c r="P14" s="126">
        <f t="shared" si="15"/>
        <v>0</v>
      </c>
      <c r="Q14" s="126">
        <f t="shared" si="16"/>
        <v>0</v>
      </c>
      <c r="R14" s="126">
        <f t="shared" si="17"/>
        <v>0</v>
      </c>
      <c r="S14" s="126">
        <f t="shared" si="18"/>
        <v>0</v>
      </c>
      <c r="T14" s="553">
        <f>IF('8. WAMKK'!C14=0,0,+S14/'8. WAMKK'!C14)</f>
        <v>0</v>
      </c>
      <c r="U14" s="152"/>
      <c r="V14" s="690">
        <f t="shared" ref="V14:V77" si="19">+S14-F14+C14</f>
        <v>0</v>
      </c>
      <c r="W14" s="494"/>
    </row>
    <row r="15" spans="1:27" ht="12.75" customHeight="1" x14ac:dyDescent="0.25">
      <c r="A15" s="527" t="s">
        <v>2</v>
      </c>
      <c r="B15" s="530" t="s">
        <v>405</v>
      </c>
      <c r="C15" s="125">
        <v>27219750</v>
      </c>
      <c r="D15" s="64">
        <v>27036250</v>
      </c>
      <c r="E15" s="64">
        <v>26855117</v>
      </c>
      <c r="F15" s="64">
        <v>25723411</v>
      </c>
      <c r="G15" s="64"/>
      <c r="H15" s="64">
        <v>11676401</v>
      </c>
      <c r="I15" s="64">
        <v>17034976</v>
      </c>
      <c r="J15" s="64">
        <v>22953453</v>
      </c>
      <c r="K15" s="64"/>
      <c r="L15" s="518">
        <f t="shared" si="12"/>
        <v>0.42896797362209427</v>
      </c>
      <c r="M15" s="518">
        <f t="shared" si="13"/>
        <v>0.63007909750797542</v>
      </c>
      <c r="N15" s="518">
        <f t="shared" si="14"/>
        <v>0.85471431757307181</v>
      </c>
      <c r="O15" s="64"/>
      <c r="P15" s="570">
        <f>+(D15-C15)*P$10</f>
        <v>-183500</v>
      </c>
      <c r="Q15" s="570">
        <f t="shared" ref="Q15:R15" si="20">+(E15-D15)*Q$10</f>
        <v>-181133</v>
      </c>
      <c r="R15" s="570">
        <f t="shared" si="20"/>
        <v>-1131706</v>
      </c>
      <c r="S15" s="570">
        <f>SUM(P15:R15)</f>
        <v>-1496339</v>
      </c>
      <c r="T15" s="553">
        <f>IF('8. WAMKK'!C15=0,0,+S15/'8. WAMKK'!C15)</f>
        <v>-0.10173363520165347</v>
      </c>
      <c r="U15" s="152"/>
      <c r="V15" s="690">
        <f t="shared" si="19"/>
        <v>0</v>
      </c>
      <c r="W15" s="494"/>
    </row>
    <row r="16" spans="1:27" ht="12.75" customHeight="1" x14ac:dyDescent="0.25">
      <c r="A16" s="527" t="s">
        <v>13</v>
      </c>
      <c r="B16" s="533" t="s">
        <v>4</v>
      </c>
      <c r="C16" s="125"/>
      <c r="D16" s="64">
        <v>33500</v>
      </c>
      <c r="E16" s="64">
        <v>33500</v>
      </c>
      <c r="F16" s="64">
        <v>33500</v>
      </c>
      <c r="G16" s="64"/>
      <c r="H16" s="64">
        <v>33500</v>
      </c>
      <c r="I16" s="64">
        <v>33500</v>
      </c>
      <c r="J16" s="64">
        <v>33500</v>
      </c>
      <c r="K16" s="64"/>
      <c r="L16" s="518">
        <f t="shared" si="12"/>
        <v>0</v>
      </c>
      <c r="M16" s="518">
        <f t="shared" si="13"/>
        <v>1</v>
      </c>
      <c r="N16" s="518">
        <f t="shared" si="14"/>
        <v>1</v>
      </c>
      <c r="O16" s="64"/>
      <c r="P16" s="64">
        <f t="shared" ref="P16:P79" si="21">+(D16-C16)*P$10</f>
        <v>33500</v>
      </c>
      <c r="Q16" s="64">
        <f t="shared" ref="Q16:Q79" si="22">+(E16-D16)*Q$10</f>
        <v>0</v>
      </c>
      <c r="R16" s="64">
        <f t="shared" ref="R16:R79" si="23">+(F16-E16)*R$10</f>
        <v>0</v>
      </c>
      <c r="S16" s="64">
        <f t="shared" ref="S16:S79" si="24">SUM(P16:R16)</f>
        <v>33500</v>
      </c>
      <c r="T16" s="553">
        <f>IF('8. WAMKK'!C16=0,0,+S16/'8. WAMKK'!C16)</f>
        <v>0</v>
      </c>
      <c r="U16" s="152"/>
      <c r="V16" s="690">
        <f t="shared" si="19"/>
        <v>0</v>
      </c>
      <c r="W16" s="494"/>
    </row>
    <row r="17" spans="1:23" ht="12.75" customHeight="1" x14ac:dyDescent="0.25">
      <c r="A17" s="527" t="s">
        <v>14</v>
      </c>
      <c r="B17" s="533" t="s">
        <v>5</v>
      </c>
      <c r="C17" s="125"/>
      <c r="D17" s="64"/>
      <c r="E17" s="64"/>
      <c r="F17" s="64"/>
      <c r="G17" s="64"/>
      <c r="H17" s="64"/>
      <c r="I17" s="64"/>
      <c r="J17" s="64"/>
      <c r="K17" s="64"/>
      <c r="L17" s="518">
        <f t="shared" si="12"/>
        <v>0</v>
      </c>
      <c r="M17" s="518">
        <f t="shared" si="13"/>
        <v>0</v>
      </c>
      <c r="N17" s="518">
        <f t="shared" si="14"/>
        <v>0</v>
      </c>
      <c r="O17" s="64"/>
      <c r="P17" s="64">
        <f t="shared" si="21"/>
        <v>0</v>
      </c>
      <c r="Q17" s="64">
        <f t="shared" si="22"/>
        <v>0</v>
      </c>
      <c r="R17" s="64">
        <f t="shared" si="23"/>
        <v>0</v>
      </c>
      <c r="S17" s="64">
        <f t="shared" si="24"/>
        <v>0</v>
      </c>
      <c r="T17" s="553">
        <f>IF('8. WAMKK'!C17=0,0,+S17/'8. WAMKK'!C17)</f>
        <v>0</v>
      </c>
      <c r="U17" s="152"/>
      <c r="V17" s="690">
        <f t="shared" si="19"/>
        <v>0</v>
      </c>
      <c r="W17" s="494"/>
    </row>
    <row r="18" spans="1:23" ht="12.75" customHeight="1" x14ac:dyDescent="0.25">
      <c r="A18" s="527" t="s">
        <v>12</v>
      </c>
      <c r="B18" s="533" t="s">
        <v>6</v>
      </c>
      <c r="C18" s="125">
        <v>0</v>
      </c>
      <c r="D18" s="64">
        <v>0</v>
      </c>
      <c r="E18" s="64">
        <v>0</v>
      </c>
      <c r="F18" s="64"/>
      <c r="G18" s="64"/>
      <c r="H18" s="64">
        <v>0</v>
      </c>
      <c r="I18" s="64">
        <f>+H18</f>
        <v>0</v>
      </c>
      <c r="J18" s="64"/>
      <c r="K18" s="64"/>
      <c r="L18" s="518">
        <f t="shared" si="12"/>
        <v>0</v>
      </c>
      <c r="M18" s="518">
        <f t="shared" si="13"/>
        <v>0</v>
      </c>
      <c r="N18" s="518">
        <f t="shared" si="14"/>
        <v>0</v>
      </c>
      <c r="O18" s="64"/>
      <c r="P18" s="570">
        <f t="shared" si="21"/>
        <v>0</v>
      </c>
      <c r="Q18" s="570">
        <f t="shared" si="22"/>
        <v>0</v>
      </c>
      <c r="R18" s="570">
        <f t="shared" si="23"/>
        <v>0</v>
      </c>
      <c r="S18" s="570">
        <f t="shared" si="24"/>
        <v>0</v>
      </c>
      <c r="T18" s="553">
        <f>IF('8. WAMKK'!C18=0,0,+S18/'8. WAMKK'!C18)</f>
        <v>0</v>
      </c>
      <c r="U18" s="152"/>
      <c r="V18" s="690">
        <f t="shared" si="19"/>
        <v>0</v>
      </c>
      <c r="W18" s="494"/>
    </row>
    <row r="19" spans="1:23" ht="12.75" customHeight="1" x14ac:dyDescent="0.25">
      <c r="A19" s="527" t="s">
        <v>15</v>
      </c>
      <c r="B19" s="533" t="s">
        <v>7</v>
      </c>
      <c r="C19" s="125">
        <f>5000*12*13</f>
        <v>780000</v>
      </c>
      <c r="D19" s="64">
        <v>780000</v>
      </c>
      <c r="E19" s="64">
        <v>780000</v>
      </c>
      <c r="F19" s="64">
        <v>1600000</v>
      </c>
      <c r="G19" s="64"/>
      <c r="H19" s="64">
        <v>410000</v>
      </c>
      <c r="I19" s="64">
        <v>700000</v>
      </c>
      <c r="J19" s="64">
        <v>1600000</v>
      </c>
      <c r="K19" s="64"/>
      <c r="L19" s="518">
        <f t="shared" si="12"/>
        <v>0.52564102564102566</v>
      </c>
      <c r="M19" s="518">
        <f t="shared" si="13"/>
        <v>0.89743589743589747</v>
      </c>
      <c r="N19" s="518">
        <f t="shared" si="14"/>
        <v>2.0512820512820511</v>
      </c>
      <c r="O19" s="64"/>
      <c r="P19" s="570">
        <f t="shared" si="21"/>
        <v>0</v>
      </c>
      <c r="Q19" s="570">
        <f t="shared" si="22"/>
        <v>0</v>
      </c>
      <c r="R19" s="570">
        <f t="shared" si="23"/>
        <v>820000</v>
      </c>
      <c r="S19" s="570">
        <f t="shared" si="24"/>
        <v>820000</v>
      </c>
      <c r="T19" s="553">
        <f>IF('8. WAMKK'!C19=0,0,+S19/'8. WAMKK'!C19)</f>
        <v>2.7333333333333334</v>
      </c>
      <c r="U19" s="152"/>
      <c r="V19" s="690">
        <f t="shared" si="19"/>
        <v>0</v>
      </c>
      <c r="W19" s="494"/>
    </row>
    <row r="20" spans="1:23" ht="12.75" customHeight="1" x14ac:dyDescent="0.25">
      <c r="A20" s="527" t="s">
        <v>16</v>
      </c>
      <c r="B20" s="533" t="s">
        <v>8</v>
      </c>
      <c r="C20" s="125"/>
      <c r="D20" s="64"/>
      <c r="E20" s="64"/>
      <c r="F20" s="64"/>
      <c r="G20" s="64"/>
      <c r="H20" s="64"/>
      <c r="I20" s="64"/>
      <c r="J20" s="64"/>
      <c r="K20" s="64"/>
      <c r="L20" s="518">
        <f t="shared" si="12"/>
        <v>0</v>
      </c>
      <c r="M20" s="518">
        <f t="shared" si="13"/>
        <v>0</v>
      </c>
      <c r="N20" s="518">
        <f t="shared" si="14"/>
        <v>0</v>
      </c>
      <c r="O20" s="64"/>
      <c r="P20" s="64">
        <f t="shared" si="21"/>
        <v>0</v>
      </c>
      <c r="Q20" s="64">
        <f t="shared" si="22"/>
        <v>0</v>
      </c>
      <c r="R20" s="64">
        <f t="shared" si="23"/>
        <v>0</v>
      </c>
      <c r="S20" s="64">
        <f t="shared" si="24"/>
        <v>0</v>
      </c>
      <c r="T20" s="553">
        <f>IF('8. WAMKK'!C20=0,0,+S20/'8. WAMKK'!C20)</f>
        <v>0</v>
      </c>
      <c r="U20" s="152"/>
      <c r="V20" s="690">
        <f t="shared" si="19"/>
        <v>0</v>
      </c>
      <c r="W20" s="494"/>
    </row>
    <row r="21" spans="1:23" ht="12.75" customHeight="1" x14ac:dyDescent="0.25">
      <c r="A21" s="527" t="s">
        <v>17</v>
      </c>
      <c r="B21" s="533" t="s">
        <v>9</v>
      </c>
      <c r="C21" s="125">
        <v>0</v>
      </c>
      <c r="D21" s="64">
        <v>50000</v>
      </c>
      <c r="E21" s="64">
        <v>50000</v>
      </c>
      <c r="F21" s="64">
        <v>50000</v>
      </c>
      <c r="G21" s="64"/>
      <c r="H21" s="64">
        <v>9070</v>
      </c>
      <c r="I21" s="64">
        <v>26350</v>
      </c>
      <c r="J21" s="64">
        <v>48595</v>
      </c>
      <c r="K21" s="64"/>
      <c r="L21" s="518">
        <f t="shared" si="12"/>
        <v>0</v>
      </c>
      <c r="M21" s="518">
        <f t="shared" si="13"/>
        <v>0.52700000000000002</v>
      </c>
      <c r="N21" s="518">
        <f t="shared" si="14"/>
        <v>0.97189999999999999</v>
      </c>
      <c r="O21" s="64"/>
      <c r="P21" s="570">
        <f t="shared" si="21"/>
        <v>50000</v>
      </c>
      <c r="Q21" s="570">
        <f t="shared" si="22"/>
        <v>0</v>
      </c>
      <c r="R21" s="570">
        <f t="shared" si="23"/>
        <v>0</v>
      </c>
      <c r="S21" s="570">
        <f t="shared" si="24"/>
        <v>50000</v>
      </c>
      <c r="T21" s="553">
        <f>IF('8. WAMKK'!C21=0,0,+S21/'8. WAMKK'!C21)</f>
        <v>0.34153005464480873</v>
      </c>
      <c r="U21" s="152"/>
      <c r="V21" s="690">
        <f t="shared" si="19"/>
        <v>0</v>
      </c>
      <c r="W21" s="494"/>
    </row>
    <row r="22" spans="1:23" ht="12.75" customHeight="1" x14ac:dyDescent="0.25">
      <c r="A22" s="527" t="s">
        <v>18</v>
      </c>
      <c r="B22" s="533" t="s">
        <v>10</v>
      </c>
      <c r="C22" s="125">
        <v>0</v>
      </c>
      <c r="D22" s="64">
        <v>0</v>
      </c>
      <c r="E22" s="64">
        <v>0</v>
      </c>
      <c r="F22" s="64"/>
      <c r="G22" s="64"/>
      <c r="H22" s="64"/>
      <c r="I22" s="64"/>
      <c r="J22" s="64"/>
      <c r="K22" s="64"/>
      <c r="L22" s="518">
        <f t="shared" si="12"/>
        <v>0</v>
      </c>
      <c r="M22" s="518">
        <f t="shared" si="13"/>
        <v>0</v>
      </c>
      <c r="N22" s="518">
        <f t="shared" si="14"/>
        <v>0</v>
      </c>
      <c r="O22" s="64"/>
      <c r="P22" s="64">
        <f t="shared" si="21"/>
        <v>0</v>
      </c>
      <c r="Q22" s="64">
        <f t="shared" si="22"/>
        <v>0</v>
      </c>
      <c r="R22" s="64">
        <f t="shared" si="23"/>
        <v>0</v>
      </c>
      <c r="S22" s="64">
        <f t="shared" si="24"/>
        <v>0</v>
      </c>
      <c r="T22" s="553">
        <f>IF('8. WAMKK'!C22=0,0,+S22/'8. WAMKK'!C22)</f>
        <v>0</v>
      </c>
      <c r="U22" s="152"/>
      <c r="V22" s="690">
        <f t="shared" si="19"/>
        <v>0</v>
      </c>
      <c r="W22" s="494"/>
    </row>
    <row r="23" spans="1:23" ht="12.75" customHeight="1" x14ac:dyDescent="0.25">
      <c r="A23" s="527" t="s">
        <v>19</v>
      </c>
      <c r="B23" s="533" t="s">
        <v>11</v>
      </c>
      <c r="C23" s="125">
        <v>0</v>
      </c>
      <c r="D23" s="64">
        <v>100000</v>
      </c>
      <c r="E23" s="64">
        <v>281133</v>
      </c>
      <c r="F23" s="64">
        <v>381133</v>
      </c>
      <c r="G23" s="64"/>
      <c r="H23" s="64">
        <v>88635</v>
      </c>
      <c r="I23" s="64">
        <v>281133</v>
      </c>
      <c r="J23" s="64">
        <v>347285</v>
      </c>
      <c r="K23" s="64"/>
      <c r="L23" s="518">
        <f t="shared" si="12"/>
        <v>0</v>
      </c>
      <c r="M23" s="518">
        <f t="shared" si="13"/>
        <v>2.8113299999999999</v>
      </c>
      <c r="N23" s="518">
        <f t="shared" si="14"/>
        <v>1.235304997990275</v>
      </c>
      <c r="O23" s="64"/>
      <c r="P23" s="64">
        <f t="shared" si="21"/>
        <v>100000</v>
      </c>
      <c r="Q23" s="64">
        <f t="shared" si="22"/>
        <v>181133</v>
      </c>
      <c r="R23" s="64">
        <f t="shared" si="23"/>
        <v>100000</v>
      </c>
      <c r="S23" s="64">
        <f t="shared" si="24"/>
        <v>381133</v>
      </c>
      <c r="T23" s="553">
        <f>IF('8. WAMKK'!C23=0,0,+S23/'8. WAMKK'!C23)</f>
        <v>0</v>
      </c>
      <c r="U23" s="152"/>
      <c r="V23" s="690">
        <f t="shared" si="19"/>
        <v>0</v>
      </c>
      <c r="W23" s="494"/>
    </row>
    <row r="24" spans="1:23" ht="12.75" customHeight="1" x14ac:dyDescent="0.25">
      <c r="A24" s="527" t="s">
        <v>20</v>
      </c>
      <c r="B24" s="533"/>
      <c r="C24" s="125"/>
      <c r="D24" s="64"/>
      <c r="E24" s="64"/>
      <c r="F24" s="64"/>
      <c r="G24" s="64"/>
      <c r="H24" s="64"/>
      <c r="I24" s="64"/>
      <c r="J24" s="64"/>
      <c r="K24" s="64"/>
      <c r="L24" s="518">
        <f t="shared" si="12"/>
        <v>0</v>
      </c>
      <c r="M24" s="518">
        <f t="shared" si="13"/>
        <v>0</v>
      </c>
      <c r="N24" s="518">
        <f t="shared" si="14"/>
        <v>0</v>
      </c>
      <c r="O24" s="64"/>
      <c r="P24" s="64">
        <f t="shared" si="21"/>
        <v>0</v>
      </c>
      <c r="Q24" s="64">
        <f t="shared" si="22"/>
        <v>0</v>
      </c>
      <c r="R24" s="64">
        <f t="shared" si="23"/>
        <v>0</v>
      </c>
      <c r="S24" s="64">
        <f t="shared" si="24"/>
        <v>0</v>
      </c>
      <c r="T24" s="553">
        <f>IF('8. WAMKK'!C24=0,0,+S24/'8. WAMKK'!C24)</f>
        <v>0</v>
      </c>
      <c r="U24" s="152"/>
      <c r="V24" s="690">
        <f t="shared" si="19"/>
        <v>0</v>
      </c>
      <c r="W24" s="494"/>
    </row>
    <row r="25" spans="1:23" ht="12.75" customHeight="1" x14ac:dyDescent="0.25">
      <c r="A25" s="527" t="s">
        <v>21</v>
      </c>
      <c r="B25" s="530" t="s">
        <v>22</v>
      </c>
      <c r="C25" s="125"/>
      <c r="D25" s="64"/>
      <c r="E25" s="64"/>
      <c r="F25" s="64"/>
      <c r="G25" s="64"/>
      <c r="H25" s="64"/>
      <c r="I25" s="64"/>
      <c r="J25" s="64"/>
      <c r="K25" s="64"/>
      <c r="L25" s="518">
        <f t="shared" si="12"/>
        <v>0</v>
      </c>
      <c r="M25" s="518">
        <f t="shared" si="13"/>
        <v>0</v>
      </c>
      <c r="N25" s="518">
        <f t="shared" si="14"/>
        <v>0</v>
      </c>
      <c r="O25" s="64"/>
      <c r="P25" s="64">
        <f t="shared" si="21"/>
        <v>0</v>
      </c>
      <c r="Q25" s="64">
        <f t="shared" si="22"/>
        <v>0</v>
      </c>
      <c r="R25" s="64">
        <f t="shared" si="23"/>
        <v>0</v>
      </c>
      <c r="S25" s="64">
        <f t="shared" si="24"/>
        <v>0</v>
      </c>
      <c r="T25" s="553">
        <f>IF('8. WAMKK'!C25=0,0,+S25/'8. WAMKK'!C25)</f>
        <v>0</v>
      </c>
      <c r="U25" s="152"/>
      <c r="V25" s="690">
        <f t="shared" si="19"/>
        <v>0</v>
      </c>
      <c r="W25" s="494"/>
    </row>
    <row r="26" spans="1:23" ht="12.75" customHeight="1" x14ac:dyDescent="0.25">
      <c r="A26" s="527" t="s">
        <v>23</v>
      </c>
      <c r="B26" s="533" t="s">
        <v>24</v>
      </c>
      <c r="C26" s="125">
        <f>4*10000*12</f>
        <v>480000</v>
      </c>
      <c r="D26" s="64">
        <v>480000</v>
      </c>
      <c r="E26" s="64">
        <v>480000</v>
      </c>
      <c r="F26" s="64">
        <v>480000</v>
      </c>
      <c r="G26" s="64"/>
      <c r="H26" s="64">
        <v>240000</v>
      </c>
      <c r="I26" s="64">
        <v>280000</v>
      </c>
      <c r="J26" s="64">
        <v>400000</v>
      </c>
      <c r="K26" s="64"/>
      <c r="L26" s="518">
        <f t="shared" si="12"/>
        <v>0.5</v>
      </c>
      <c r="M26" s="518">
        <f t="shared" si="13"/>
        <v>0.58333333333333337</v>
      </c>
      <c r="N26" s="518">
        <f t="shared" si="14"/>
        <v>0.83333333333333337</v>
      </c>
      <c r="O26" s="64"/>
      <c r="P26" s="64">
        <f t="shared" si="21"/>
        <v>0</v>
      </c>
      <c r="Q26" s="64">
        <f t="shared" si="22"/>
        <v>0</v>
      </c>
      <c r="R26" s="64">
        <f t="shared" si="23"/>
        <v>0</v>
      </c>
      <c r="S26" s="64">
        <f t="shared" si="24"/>
        <v>0</v>
      </c>
      <c r="T26" s="553">
        <f>IF('8. WAMKK'!C26=0,0,+S26/'8. WAMKK'!C26)</f>
        <v>0</v>
      </c>
      <c r="U26" s="152"/>
      <c r="V26" s="690">
        <f t="shared" si="19"/>
        <v>0</v>
      </c>
      <c r="W26" s="494"/>
    </row>
    <row r="27" spans="1:23" ht="12.75" customHeight="1" x14ac:dyDescent="0.25">
      <c r="A27" s="527" t="s">
        <v>25</v>
      </c>
      <c r="B27" s="533" t="s">
        <v>26</v>
      </c>
      <c r="C27" s="125"/>
      <c r="D27" s="64"/>
      <c r="E27" s="64"/>
      <c r="F27" s="64"/>
      <c r="G27" s="64"/>
      <c r="H27" s="64"/>
      <c r="I27" s="64"/>
      <c r="J27" s="64"/>
      <c r="K27" s="64"/>
      <c r="L27" s="518">
        <f t="shared" si="12"/>
        <v>0</v>
      </c>
      <c r="M27" s="518">
        <f t="shared" si="13"/>
        <v>0</v>
      </c>
      <c r="N27" s="518">
        <f t="shared" si="14"/>
        <v>0</v>
      </c>
      <c r="O27" s="64"/>
      <c r="P27" s="64">
        <f t="shared" si="21"/>
        <v>0</v>
      </c>
      <c r="Q27" s="64">
        <f t="shared" si="22"/>
        <v>0</v>
      </c>
      <c r="R27" s="64">
        <f t="shared" si="23"/>
        <v>0</v>
      </c>
      <c r="S27" s="64">
        <f t="shared" si="24"/>
        <v>0</v>
      </c>
      <c r="T27" s="553">
        <f>IF('8. WAMKK'!C27=0,0,+S27/'8. WAMKK'!C27)</f>
        <v>0</v>
      </c>
      <c r="U27" s="152"/>
      <c r="V27" s="690">
        <f t="shared" si="19"/>
        <v>0</v>
      </c>
      <c r="W27" s="494"/>
    </row>
    <row r="28" spans="1:23" ht="12.75" customHeight="1" x14ac:dyDescent="0.25">
      <c r="A28" s="527"/>
      <c r="B28" s="527"/>
      <c r="C28" s="125"/>
      <c r="D28" s="64"/>
      <c r="E28" s="64"/>
      <c r="F28" s="64"/>
      <c r="G28" s="64"/>
      <c r="H28" s="64"/>
      <c r="I28" s="64"/>
      <c r="J28" s="64"/>
      <c r="K28" s="64"/>
      <c r="L28" s="546">
        <f t="shared" si="12"/>
        <v>0</v>
      </c>
      <c r="M28" s="546">
        <f t="shared" si="13"/>
        <v>0</v>
      </c>
      <c r="N28" s="546">
        <f t="shared" si="14"/>
        <v>0</v>
      </c>
      <c r="O28" s="64"/>
      <c r="P28" s="64">
        <f t="shared" si="21"/>
        <v>0</v>
      </c>
      <c r="Q28" s="64">
        <f t="shared" si="22"/>
        <v>0</v>
      </c>
      <c r="R28" s="64">
        <f t="shared" si="23"/>
        <v>0</v>
      </c>
      <c r="S28" s="64">
        <f t="shared" si="24"/>
        <v>0</v>
      </c>
      <c r="T28" s="553">
        <f>IF('8. WAMKK'!C28=0,0,+S28/'8. WAMKK'!C28)</f>
        <v>0</v>
      </c>
      <c r="U28" s="152"/>
      <c r="V28" s="690">
        <f t="shared" si="19"/>
        <v>0</v>
      </c>
      <c r="W28" s="494"/>
    </row>
    <row r="29" spans="1:23" ht="12.75" customHeight="1" x14ac:dyDescent="0.25">
      <c r="A29" s="720" t="s">
        <v>27</v>
      </c>
      <c r="B29" s="149" t="s">
        <v>28</v>
      </c>
      <c r="C29" s="127">
        <f>SUM(C30)</f>
        <v>5477891.25</v>
      </c>
      <c r="D29" s="127">
        <f>SUM(D30)</f>
        <v>5477891</v>
      </c>
      <c r="E29" s="127">
        <f>SUM(E30)</f>
        <v>5477891</v>
      </c>
      <c r="F29" s="127">
        <f>SUM(F30)</f>
        <v>5689597</v>
      </c>
      <c r="G29" s="127"/>
      <c r="H29" s="127">
        <f>SUM(H30)</f>
        <v>3010560</v>
      </c>
      <c r="I29" s="127">
        <f>+I30</f>
        <v>4356993</v>
      </c>
      <c r="J29" s="127">
        <f>+J30</f>
        <v>5689597</v>
      </c>
      <c r="K29" s="127"/>
      <c r="L29" s="514">
        <f t="shared" si="12"/>
        <v>0.54958374721294445</v>
      </c>
      <c r="M29" s="514">
        <f t="shared" si="13"/>
        <v>0.79537781967549193</v>
      </c>
      <c r="N29" s="514">
        <f t="shared" si="14"/>
        <v>1.0386473553416817</v>
      </c>
      <c r="O29" s="127"/>
      <c r="P29" s="127">
        <f t="shared" si="21"/>
        <v>-0.25</v>
      </c>
      <c r="Q29" s="127">
        <f t="shared" si="22"/>
        <v>0</v>
      </c>
      <c r="R29" s="127">
        <f t="shared" si="23"/>
        <v>211706</v>
      </c>
      <c r="S29" s="127">
        <f t="shared" si="24"/>
        <v>211705.75</v>
      </c>
      <c r="T29" s="552">
        <f>IF('8. WAMKK'!C29=0,0,+S29/'8. WAMKK'!C29)</f>
        <v>7.0568583333333337E-2</v>
      </c>
      <c r="U29" s="152"/>
      <c r="V29" s="690">
        <f t="shared" si="19"/>
        <v>0</v>
      </c>
      <c r="W29" s="494"/>
    </row>
    <row r="30" spans="1:23" ht="12.75" customHeight="1" x14ac:dyDescent="0.25">
      <c r="A30" s="527"/>
      <c r="B30" s="533" t="s">
        <v>29</v>
      </c>
      <c r="C30" s="125">
        <v>5477891.25</v>
      </c>
      <c r="D30" s="64">
        <v>5477891</v>
      </c>
      <c r="E30" s="64">
        <v>5477891</v>
      </c>
      <c r="F30" s="64">
        <v>5689597</v>
      </c>
      <c r="G30" s="64"/>
      <c r="H30" s="64">
        <v>3010560</v>
      </c>
      <c r="I30" s="64">
        <v>4356993</v>
      </c>
      <c r="J30" s="64">
        <v>5689597</v>
      </c>
      <c r="K30" s="64"/>
      <c r="L30" s="518">
        <f t="shared" si="12"/>
        <v>0.54958374721294445</v>
      </c>
      <c r="M30" s="518">
        <f t="shared" si="13"/>
        <v>0.79537781967549193</v>
      </c>
      <c r="N30" s="518">
        <f t="shared" si="14"/>
        <v>1.0386473553416817</v>
      </c>
      <c r="O30" s="64"/>
      <c r="P30" s="64">
        <f t="shared" si="21"/>
        <v>-0.25</v>
      </c>
      <c r="Q30" s="64">
        <f t="shared" si="22"/>
        <v>0</v>
      </c>
      <c r="R30" s="64">
        <f t="shared" si="23"/>
        <v>211706</v>
      </c>
      <c r="S30" s="64">
        <f t="shared" si="24"/>
        <v>211705.75</v>
      </c>
      <c r="T30" s="553">
        <f>IF('8. WAMKK'!C30=0,0,+S30/'8. WAMKK'!C30)</f>
        <v>7.0568583333333337E-2</v>
      </c>
      <c r="U30" s="152"/>
      <c r="V30" s="690">
        <f t="shared" si="19"/>
        <v>0</v>
      </c>
      <c r="W30" s="494"/>
    </row>
    <row r="31" spans="1:23" ht="12.75" customHeight="1" x14ac:dyDescent="0.25">
      <c r="A31" s="527"/>
      <c r="B31" s="527"/>
      <c r="C31" s="172"/>
      <c r="D31" s="64"/>
      <c r="E31" s="64"/>
      <c r="F31" s="64"/>
      <c r="G31" s="64"/>
      <c r="H31" s="64"/>
      <c r="I31" s="64"/>
      <c r="J31" s="64"/>
      <c r="K31" s="64"/>
      <c r="L31" s="546">
        <f t="shared" si="12"/>
        <v>0</v>
      </c>
      <c r="M31" s="546">
        <f t="shared" si="13"/>
        <v>0</v>
      </c>
      <c r="N31" s="546">
        <f t="shared" si="14"/>
        <v>0</v>
      </c>
      <c r="O31" s="64"/>
      <c r="P31" s="64">
        <f t="shared" ref="P31" si="25">+(D31-C31)*P$10</f>
        <v>0</v>
      </c>
      <c r="Q31" s="64">
        <f t="shared" ref="Q31" si="26">+(E31-D31)*Q$10</f>
        <v>0</v>
      </c>
      <c r="R31" s="64">
        <f t="shared" ref="R31" si="27">+(F31-E31)*R$10</f>
        <v>0</v>
      </c>
      <c r="S31" s="64">
        <f t="shared" si="24"/>
        <v>0</v>
      </c>
      <c r="T31" s="553">
        <f>IF('8. WAMKK'!C31=0,0,+S31/'8. WAMKK'!C31)</f>
        <v>0</v>
      </c>
      <c r="U31" s="152"/>
      <c r="V31" s="690">
        <f t="shared" si="19"/>
        <v>0</v>
      </c>
      <c r="W31" s="494"/>
    </row>
    <row r="32" spans="1:23" ht="12.75" customHeight="1" x14ac:dyDescent="0.25">
      <c r="A32" s="720" t="s">
        <v>30</v>
      </c>
      <c r="B32" s="149" t="s">
        <v>31</v>
      </c>
      <c r="C32" s="150">
        <f t="shared" ref="C32:F32" si="28">+C33+C41+C48+C66+C71</f>
        <v>67166000</v>
      </c>
      <c r="D32" s="150">
        <f t="shared" si="28"/>
        <v>67119689</v>
      </c>
      <c r="E32" s="150">
        <f t="shared" si="28"/>
        <v>66912132</v>
      </c>
      <c r="F32" s="150">
        <f t="shared" si="28"/>
        <v>69412132</v>
      </c>
      <c r="G32" s="128"/>
      <c r="H32" s="150">
        <f t="shared" ref="H32:J32" si="29">+H33+H41+H48+H66+H71</f>
        <v>35894094</v>
      </c>
      <c r="I32" s="150">
        <f t="shared" si="29"/>
        <v>44860861</v>
      </c>
      <c r="J32" s="150">
        <f t="shared" si="29"/>
        <v>64745473</v>
      </c>
      <c r="K32" s="128"/>
      <c r="L32" s="514">
        <f t="shared" si="12"/>
        <v>0.53440868891998927</v>
      </c>
      <c r="M32" s="514">
        <f t="shared" si="13"/>
        <v>0.66837110940725608</v>
      </c>
      <c r="N32" s="514">
        <f t="shared" si="14"/>
        <v>0.96761933994271776</v>
      </c>
      <c r="O32" s="128"/>
      <c r="P32" s="128">
        <f t="shared" si="21"/>
        <v>-46311</v>
      </c>
      <c r="Q32" s="128">
        <f t="shared" si="22"/>
        <v>-207557</v>
      </c>
      <c r="R32" s="128">
        <f t="shared" si="23"/>
        <v>2500000</v>
      </c>
      <c r="S32" s="128">
        <f t="shared" si="24"/>
        <v>2246132</v>
      </c>
      <c r="T32" s="552">
        <f>IF('8. WAMKK'!C32=0,0,+S32/'8. WAMKK'!C32)</f>
        <v>0.15690757946210268</v>
      </c>
      <c r="U32" s="152"/>
      <c r="V32" s="690">
        <f t="shared" si="19"/>
        <v>0</v>
      </c>
      <c r="W32" s="494"/>
    </row>
    <row r="33" spans="1:23" s="26" customFormat="1" ht="12.75" customHeight="1" x14ac:dyDescent="0.25">
      <c r="A33" s="515" t="s">
        <v>32</v>
      </c>
      <c r="B33" s="516" t="s">
        <v>33</v>
      </c>
      <c r="C33" s="1067">
        <f>SUM(C34:C40)</f>
        <v>50006000</v>
      </c>
      <c r="D33" s="1067">
        <f t="shared" ref="D33:F33" si="30">SUM(D34:D40)</f>
        <v>50006000</v>
      </c>
      <c r="E33" s="1067">
        <f t="shared" si="30"/>
        <v>49943503</v>
      </c>
      <c r="F33" s="1067">
        <f t="shared" si="30"/>
        <v>54122712</v>
      </c>
      <c r="G33" s="167"/>
      <c r="H33" s="1067">
        <f>SUM(H34:H40)</f>
        <v>28544965</v>
      </c>
      <c r="I33" s="1067">
        <f>SUM(I34:I40)</f>
        <v>35573247</v>
      </c>
      <c r="J33" s="1067">
        <f>SUM(J34:J40)</f>
        <v>51567599</v>
      </c>
      <c r="K33" s="167"/>
      <c r="L33" s="546">
        <f t="shared" si="12"/>
        <v>0.57083080030396349</v>
      </c>
      <c r="M33" s="546">
        <f t="shared" si="13"/>
        <v>0.71137957445106592</v>
      </c>
      <c r="N33" s="546">
        <f t="shared" si="14"/>
        <v>1.0325186641393576</v>
      </c>
      <c r="O33" s="167"/>
      <c r="P33" s="167">
        <f t="shared" si="21"/>
        <v>0</v>
      </c>
      <c r="Q33" s="167">
        <f t="shared" si="22"/>
        <v>-62497</v>
      </c>
      <c r="R33" s="167">
        <f t="shared" si="23"/>
        <v>4179209</v>
      </c>
      <c r="S33" s="167">
        <f t="shared" si="24"/>
        <v>4116712</v>
      </c>
      <c r="T33" s="553">
        <f>IF('8. WAMKK'!C33=0,0,+S33/'8. WAMKK'!C33)</f>
        <v>1.3279716129032257</v>
      </c>
      <c r="U33" s="920"/>
      <c r="V33" s="690">
        <f t="shared" si="19"/>
        <v>0</v>
      </c>
      <c r="W33" s="524"/>
    </row>
    <row r="34" spans="1:23" ht="12.75" customHeight="1" x14ac:dyDescent="0.25">
      <c r="A34" s="527" t="s">
        <v>34</v>
      </c>
      <c r="B34" s="533" t="s">
        <v>36</v>
      </c>
      <c r="C34" s="64">
        <v>6000</v>
      </c>
      <c r="D34" s="64">
        <v>6000</v>
      </c>
      <c r="E34" s="64">
        <v>6000</v>
      </c>
      <c r="F34" s="64">
        <v>6000</v>
      </c>
      <c r="G34" s="64"/>
      <c r="H34" s="64">
        <v>5619</v>
      </c>
      <c r="I34" s="64">
        <v>5619</v>
      </c>
      <c r="J34" s="64">
        <v>5619</v>
      </c>
      <c r="K34" s="64"/>
      <c r="L34" s="518">
        <f t="shared" si="12"/>
        <v>0.9365</v>
      </c>
      <c r="M34" s="518">
        <f t="shared" si="13"/>
        <v>0.9365</v>
      </c>
      <c r="N34" s="518">
        <f t="shared" si="14"/>
        <v>0.9365</v>
      </c>
      <c r="O34" s="64"/>
      <c r="P34" s="64">
        <f t="shared" si="21"/>
        <v>0</v>
      </c>
      <c r="Q34" s="64">
        <f t="shared" si="22"/>
        <v>0</v>
      </c>
      <c r="R34" s="64">
        <f t="shared" si="23"/>
        <v>0</v>
      </c>
      <c r="S34" s="64">
        <f t="shared" si="24"/>
        <v>0</v>
      </c>
      <c r="T34" s="553">
        <f>IF('8. WAMKK'!C34=0,0,+S34/'8. WAMKK'!C34)</f>
        <v>0</v>
      </c>
      <c r="U34" s="152"/>
      <c r="V34" s="690">
        <f t="shared" si="19"/>
        <v>0</v>
      </c>
      <c r="W34" s="494"/>
    </row>
    <row r="35" spans="1:23" ht="12.75" customHeight="1" x14ac:dyDescent="0.25">
      <c r="A35" s="527"/>
      <c r="B35" s="533" t="s">
        <v>90</v>
      </c>
      <c r="C35" s="64"/>
      <c r="D35" s="64"/>
      <c r="E35" s="64"/>
      <c r="F35" s="64"/>
      <c r="G35" s="64"/>
      <c r="H35" s="64"/>
      <c r="I35" s="64"/>
      <c r="J35" s="64"/>
      <c r="K35" s="64"/>
      <c r="L35" s="518">
        <f t="shared" si="12"/>
        <v>0</v>
      </c>
      <c r="M35" s="518">
        <f t="shared" si="13"/>
        <v>0</v>
      </c>
      <c r="N35" s="518">
        <f t="shared" si="14"/>
        <v>0</v>
      </c>
      <c r="O35" s="64"/>
      <c r="P35" s="64">
        <f t="shared" si="21"/>
        <v>0</v>
      </c>
      <c r="Q35" s="64">
        <f t="shared" si="22"/>
        <v>0</v>
      </c>
      <c r="R35" s="64">
        <f t="shared" si="23"/>
        <v>0</v>
      </c>
      <c r="S35" s="64">
        <f t="shared" si="24"/>
        <v>0</v>
      </c>
      <c r="T35" s="553">
        <f>IF('8. WAMKK'!C35=0,0,+S35/'8. WAMKK'!C35)</f>
        <v>0</v>
      </c>
      <c r="U35" s="152"/>
      <c r="V35" s="690">
        <f t="shared" si="19"/>
        <v>0</v>
      </c>
      <c r="W35" s="494"/>
    </row>
    <row r="36" spans="1:23" ht="12.75" customHeight="1" x14ac:dyDescent="0.25">
      <c r="A36" s="527" t="s">
        <v>35</v>
      </c>
      <c r="B36" s="533" t="s">
        <v>37</v>
      </c>
      <c r="C36" s="169">
        <v>50000000</v>
      </c>
      <c r="D36" s="64">
        <v>50000000</v>
      </c>
      <c r="E36" s="64">
        <v>49937503</v>
      </c>
      <c r="F36" s="64">
        <v>54116712</v>
      </c>
      <c r="G36" s="64"/>
      <c r="H36" s="64">
        <v>28539346</v>
      </c>
      <c r="I36" s="64">
        <v>35567628</v>
      </c>
      <c r="J36" s="64">
        <v>51561980</v>
      </c>
      <c r="K36" s="64"/>
      <c r="L36" s="518">
        <f t="shared" si="12"/>
        <v>0.57078691999999998</v>
      </c>
      <c r="M36" s="518">
        <f t="shared" si="13"/>
        <v>0.71135256000000002</v>
      </c>
      <c r="N36" s="518">
        <f t="shared" si="14"/>
        <v>1.032530200799187</v>
      </c>
      <c r="O36" s="64"/>
      <c r="P36" s="64">
        <f t="shared" si="21"/>
        <v>0</v>
      </c>
      <c r="Q36" s="64">
        <f t="shared" si="22"/>
        <v>-62497</v>
      </c>
      <c r="R36" s="64">
        <f t="shared" si="23"/>
        <v>4179209</v>
      </c>
      <c r="S36" s="64">
        <f t="shared" si="24"/>
        <v>4116712</v>
      </c>
      <c r="T36" s="553">
        <f>IF('8. WAMKK'!C36=0,0,+S36/'8. WAMKK'!C36)</f>
        <v>1.9603390476190476</v>
      </c>
      <c r="U36" s="152"/>
      <c r="V36" s="690">
        <f t="shared" si="19"/>
        <v>0</v>
      </c>
      <c r="W36" s="494"/>
    </row>
    <row r="37" spans="1:23" ht="12.75" customHeight="1" x14ac:dyDescent="0.25">
      <c r="A37" s="527"/>
      <c r="B37" s="533" t="s">
        <v>106</v>
      </c>
      <c r="C37" s="64"/>
      <c r="D37" s="64"/>
      <c r="E37" s="64"/>
      <c r="F37" s="64"/>
      <c r="G37" s="64"/>
      <c r="H37" s="64"/>
      <c r="I37" s="64"/>
      <c r="J37" s="64"/>
      <c r="K37" s="64"/>
      <c r="L37" s="518">
        <f t="shared" si="12"/>
        <v>0</v>
      </c>
      <c r="M37" s="518">
        <f t="shared" si="13"/>
        <v>0</v>
      </c>
      <c r="N37" s="518">
        <f t="shared" si="14"/>
        <v>0</v>
      </c>
      <c r="O37" s="64"/>
      <c r="P37" s="64">
        <f t="shared" si="21"/>
        <v>0</v>
      </c>
      <c r="Q37" s="64">
        <f t="shared" si="22"/>
        <v>0</v>
      </c>
      <c r="R37" s="64">
        <f t="shared" si="23"/>
        <v>0</v>
      </c>
      <c r="S37" s="64">
        <f t="shared" si="24"/>
        <v>0</v>
      </c>
      <c r="T37" s="553">
        <f>IF('8. WAMKK'!C37=0,0,+S37/'8. WAMKK'!C37)</f>
        <v>0</v>
      </c>
      <c r="U37" s="152"/>
      <c r="V37" s="690">
        <f t="shared" si="19"/>
        <v>0</v>
      </c>
      <c r="W37" s="494"/>
    </row>
    <row r="38" spans="1:23" ht="12.75" customHeight="1" x14ac:dyDescent="0.25">
      <c r="A38" s="527"/>
      <c r="B38" s="533" t="s">
        <v>96</v>
      </c>
      <c r="C38" s="64"/>
      <c r="D38" s="64"/>
      <c r="E38" s="64"/>
      <c r="F38" s="64"/>
      <c r="G38" s="64"/>
      <c r="H38" s="64"/>
      <c r="I38" s="64"/>
      <c r="J38" s="64"/>
      <c r="K38" s="64"/>
      <c r="L38" s="518">
        <f t="shared" si="12"/>
        <v>0</v>
      </c>
      <c r="M38" s="518">
        <f t="shared" si="13"/>
        <v>0</v>
      </c>
      <c r="N38" s="518">
        <f t="shared" si="14"/>
        <v>0</v>
      </c>
      <c r="O38" s="64"/>
      <c r="P38" s="64">
        <f t="shared" si="21"/>
        <v>0</v>
      </c>
      <c r="Q38" s="64">
        <f t="shared" si="22"/>
        <v>0</v>
      </c>
      <c r="R38" s="64">
        <f t="shared" si="23"/>
        <v>0</v>
      </c>
      <c r="S38" s="64">
        <f t="shared" si="24"/>
        <v>0</v>
      </c>
      <c r="T38" s="553">
        <f>IF('8. WAMKK'!C38=0,0,+S38/'8. WAMKK'!C38)</f>
        <v>0</v>
      </c>
      <c r="U38" s="152"/>
      <c r="V38" s="690">
        <f t="shared" si="19"/>
        <v>0</v>
      </c>
      <c r="W38" s="494"/>
    </row>
    <row r="39" spans="1:23" ht="12.75" customHeight="1" x14ac:dyDescent="0.25">
      <c r="A39" s="527"/>
      <c r="B39" s="533" t="s">
        <v>95</v>
      </c>
      <c r="C39" s="64"/>
      <c r="D39" s="64"/>
      <c r="E39" s="64"/>
      <c r="F39" s="64"/>
      <c r="G39" s="64"/>
      <c r="H39" s="64"/>
      <c r="I39" s="64"/>
      <c r="J39" s="64"/>
      <c r="K39" s="64"/>
      <c r="L39" s="518">
        <f t="shared" si="12"/>
        <v>0</v>
      </c>
      <c r="M39" s="518">
        <f t="shared" si="13"/>
        <v>0</v>
      </c>
      <c r="N39" s="518">
        <f t="shared" si="14"/>
        <v>0</v>
      </c>
      <c r="O39" s="64"/>
      <c r="P39" s="64">
        <f t="shared" si="21"/>
        <v>0</v>
      </c>
      <c r="Q39" s="64">
        <f t="shared" si="22"/>
        <v>0</v>
      </c>
      <c r="R39" s="64">
        <f t="shared" si="23"/>
        <v>0</v>
      </c>
      <c r="S39" s="64">
        <f t="shared" si="24"/>
        <v>0</v>
      </c>
      <c r="T39" s="553">
        <f>IF('8. WAMKK'!C39=0,0,+S39/'8. WAMKK'!C39)</f>
        <v>0</v>
      </c>
      <c r="U39" s="152"/>
      <c r="V39" s="690">
        <f t="shared" si="19"/>
        <v>0</v>
      </c>
      <c r="W39" s="494"/>
    </row>
    <row r="40" spans="1:23" ht="12.75" customHeight="1" x14ac:dyDescent="0.25">
      <c r="A40" s="527"/>
      <c r="B40" s="533" t="s">
        <v>94</v>
      </c>
      <c r="C40" s="64"/>
      <c r="D40" s="64"/>
      <c r="E40" s="64"/>
      <c r="F40" s="64"/>
      <c r="G40" s="64"/>
      <c r="H40" s="64"/>
      <c r="I40" s="64"/>
      <c r="J40" s="64"/>
      <c r="K40" s="64"/>
      <c r="L40" s="518">
        <f t="shared" si="12"/>
        <v>0</v>
      </c>
      <c r="M40" s="518">
        <f t="shared" si="13"/>
        <v>0</v>
      </c>
      <c r="N40" s="518">
        <f t="shared" si="14"/>
        <v>0</v>
      </c>
      <c r="O40" s="64"/>
      <c r="P40" s="64">
        <f t="shared" si="21"/>
        <v>0</v>
      </c>
      <c r="Q40" s="64">
        <f t="shared" si="22"/>
        <v>0</v>
      </c>
      <c r="R40" s="64">
        <f t="shared" si="23"/>
        <v>0</v>
      </c>
      <c r="S40" s="64">
        <f t="shared" si="24"/>
        <v>0</v>
      </c>
      <c r="T40" s="553">
        <f>IF('8. WAMKK'!C40=0,0,+S40/'8. WAMKK'!C40)</f>
        <v>0</v>
      </c>
      <c r="U40" s="152"/>
      <c r="V40" s="690">
        <f t="shared" si="19"/>
        <v>0</v>
      </c>
      <c r="W40" s="494"/>
    </row>
    <row r="41" spans="1:23" s="26" customFormat="1" ht="12.75" customHeight="1" x14ac:dyDescent="0.25">
      <c r="A41" s="515" t="s">
        <v>38</v>
      </c>
      <c r="B41" s="516" t="s">
        <v>39</v>
      </c>
      <c r="C41" s="1067">
        <f>SUM(C42:C47)</f>
        <v>49000</v>
      </c>
      <c r="D41" s="1067">
        <f t="shared" ref="D41:F41" si="31">SUM(D42:D47)</f>
        <v>49000</v>
      </c>
      <c r="E41" s="1067">
        <f t="shared" si="31"/>
        <v>49000</v>
      </c>
      <c r="F41" s="1067">
        <f t="shared" si="31"/>
        <v>49000</v>
      </c>
      <c r="G41" s="167"/>
      <c r="H41" s="1067">
        <f>SUM(H42:H47)</f>
        <v>22898</v>
      </c>
      <c r="I41" s="1067">
        <f>SUM(I42:I47)</f>
        <v>34895</v>
      </c>
      <c r="J41" s="1067">
        <f>SUM(J42:J47)</f>
        <v>46068</v>
      </c>
      <c r="K41" s="167"/>
      <c r="L41" s="522">
        <f t="shared" si="12"/>
        <v>0.46730612244897957</v>
      </c>
      <c r="M41" s="522">
        <f t="shared" si="13"/>
        <v>0.71214285714285719</v>
      </c>
      <c r="N41" s="522">
        <f t="shared" si="14"/>
        <v>0.94016326530612249</v>
      </c>
      <c r="O41" s="167"/>
      <c r="P41" s="167">
        <f t="shared" si="21"/>
        <v>0</v>
      </c>
      <c r="Q41" s="167">
        <f t="shared" si="22"/>
        <v>0</v>
      </c>
      <c r="R41" s="167">
        <f t="shared" si="23"/>
        <v>0</v>
      </c>
      <c r="S41" s="167">
        <f t="shared" si="24"/>
        <v>0</v>
      </c>
      <c r="T41" s="553">
        <f>IF('8. WAMKK'!C41=0,0,+S41/'8. WAMKK'!C41)</f>
        <v>0</v>
      </c>
      <c r="U41" s="920"/>
      <c r="V41" s="690">
        <f t="shared" si="19"/>
        <v>0</v>
      </c>
      <c r="W41" s="524"/>
    </row>
    <row r="42" spans="1:23" ht="12.75" customHeight="1" x14ac:dyDescent="0.25">
      <c r="A42" s="527" t="s">
        <v>40</v>
      </c>
      <c r="B42" s="533" t="s">
        <v>41</v>
      </c>
      <c r="C42" s="64">
        <v>0</v>
      </c>
      <c r="D42" s="64">
        <v>0</v>
      </c>
      <c r="E42" s="64">
        <v>0</v>
      </c>
      <c r="F42" s="64">
        <v>0</v>
      </c>
      <c r="G42" s="64"/>
      <c r="H42" s="64">
        <v>0</v>
      </c>
      <c r="I42" s="64">
        <v>0</v>
      </c>
      <c r="J42" s="64">
        <v>0</v>
      </c>
      <c r="K42" s="64"/>
      <c r="L42" s="518">
        <f t="shared" si="12"/>
        <v>0</v>
      </c>
      <c r="M42" s="518">
        <f t="shared" si="13"/>
        <v>0</v>
      </c>
      <c r="N42" s="518">
        <f t="shared" si="14"/>
        <v>0</v>
      </c>
      <c r="O42" s="64"/>
      <c r="P42" s="64">
        <f t="shared" si="21"/>
        <v>0</v>
      </c>
      <c r="Q42" s="64">
        <f t="shared" si="22"/>
        <v>0</v>
      </c>
      <c r="R42" s="64">
        <f t="shared" si="23"/>
        <v>0</v>
      </c>
      <c r="S42" s="64">
        <f t="shared" si="24"/>
        <v>0</v>
      </c>
      <c r="T42" s="553">
        <f>IF('8. WAMKK'!C42=0,0,+S42/'8. WAMKK'!C42)</f>
        <v>0</v>
      </c>
      <c r="U42" s="152"/>
      <c r="V42" s="690">
        <f t="shared" si="19"/>
        <v>0</v>
      </c>
      <c r="W42" s="494"/>
    </row>
    <row r="43" spans="1:23" ht="25.5" customHeight="1" x14ac:dyDescent="0.25">
      <c r="A43" s="527"/>
      <c r="B43" s="533" t="s">
        <v>42</v>
      </c>
      <c r="C43" s="64"/>
      <c r="D43" s="64"/>
      <c r="E43" s="64"/>
      <c r="F43" s="64"/>
      <c r="G43" s="64"/>
      <c r="H43" s="64"/>
      <c r="I43" s="64"/>
      <c r="J43" s="64"/>
      <c r="K43" s="64"/>
      <c r="L43" s="518">
        <f t="shared" si="12"/>
        <v>0</v>
      </c>
      <c r="M43" s="518">
        <f t="shared" si="13"/>
        <v>0</v>
      </c>
      <c r="N43" s="518">
        <f t="shared" si="14"/>
        <v>0</v>
      </c>
      <c r="O43" s="64"/>
      <c r="P43" s="64">
        <f t="shared" si="21"/>
        <v>0</v>
      </c>
      <c r="Q43" s="64">
        <f t="shared" si="22"/>
        <v>0</v>
      </c>
      <c r="R43" s="64">
        <f t="shared" si="23"/>
        <v>0</v>
      </c>
      <c r="S43" s="64">
        <f t="shared" si="24"/>
        <v>0</v>
      </c>
      <c r="T43" s="553">
        <f>IF('8. WAMKK'!C43=0,0,+S43/'8. WAMKK'!C43)</f>
        <v>0</v>
      </c>
      <c r="U43" s="152"/>
      <c r="V43" s="690">
        <f t="shared" si="19"/>
        <v>0</v>
      </c>
      <c r="W43" s="494"/>
    </row>
    <row r="44" spans="1:23" ht="12.75" customHeight="1" x14ac:dyDescent="0.25">
      <c r="A44" s="527"/>
      <c r="B44" s="533" t="s">
        <v>43</v>
      </c>
      <c r="C44" s="64"/>
      <c r="D44" s="64"/>
      <c r="E44" s="64"/>
      <c r="F44" s="64"/>
      <c r="G44" s="64"/>
      <c r="H44" s="64"/>
      <c r="I44" s="64"/>
      <c r="J44" s="64"/>
      <c r="K44" s="64"/>
      <c r="L44" s="518">
        <f t="shared" si="12"/>
        <v>0</v>
      </c>
      <c r="M44" s="518">
        <f t="shared" si="13"/>
        <v>0</v>
      </c>
      <c r="N44" s="518">
        <f t="shared" si="14"/>
        <v>0</v>
      </c>
      <c r="O44" s="64"/>
      <c r="P44" s="64">
        <f t="shared" si="21"/>
        <v>0</v>
      </c>
      <c r="Q44" s="64">
        <f t="shared" si="22"/>
        <v>0</v>
      </c>
      <c r="R44" s="64">
        <f t="shared" si="23"/>
        <v>0</v>
      </c>
      <c r="S44" s="64">
        <f t="shared" si="24"/>
        <v>0</v>
      </c>
      <c r="T44" s="553">
        <f>IF('8. WAMKK'!C44=0,0,+S44/'8. WAMKK'!C44)</f>
        <v>0</v>
      </c>
      <c r="U44" s="152"/>
      <c r="V44" s="690">
        <f t="shared" si="19"/>
        <v>0</v>
      </c>
      <c r="W44" s="494"/>
    </row>
    <row r="45" spans="1:23" ht="12.75" customHeight="1" x14ac:dyDescent="0.25">
      <c r="A45" s="527"/>
      <c r="B45" s="533" t="s">
        <v>44</v>
      </c>
      <c r="C45" s="64"/>
      <c r="D45" s="64"/>
      <c r="E45" s="64"/>
      <c r="F45" s="64"/>
      <c r="G45" s="64"/>
      <c r="H45" s="64"/>
      <c r="I45" s="64"/>
      <c r="J45" s="64"/>
      <c r="K45" s="64"/>
      <c r="L45" s="518">
        <f t="shared" si="12"/>
        <v>0</v>
      </c>
      <c r="M45" s="518">
        <f t="shared" si="13"/>
        <v>0</v>
      </c>
      <c r="N45" s="518">
        <f t="shared" si="14"/>
        <v>0</v>
      </c>
      <c r="O45" s="64"/>
      <c r="P45" s="64">
        <f t="shared" si="21"/>
        <v>0</v>
      </c>
      <c r="Q45" s="64">
        <f t="shared" si="22"/>
        <v>0</v>
      </c>
      <c r="R45" s="64">
        <f t="shared" si="23"/>
        <v>0</v>
      </c>
      <c r="S45" s="64">
        <f t="shared" si="24"/>
        <v>0</v>
      </c>
      <c r="T45" s="553">
        <f>IF('8. WAMKK'!C45=0,0,+S45/'8. WAMKK'!C45)</f>
        <v>0</v>
      </c>
      <c r="U45" s="152"/>
      <c r="V45" s="690">
        <f t="shared" si="19"/>
        <v>0</v>
      </c>
      <c r="W45" s="494"/>
    </row>
    <row r="46" spans="1:23" ht="12.75" customHeight="1" x14ac:dyDescent="0.25">
      <c r="A46" s="527" t="s">
        <v>45</v>
      </c>
      <c r="B46" s="533" t="s">
        <v>46</v>
      </c>
      <c r="C46" s="64">
        <v>49000</v>
      </c>
      <c r="D46" s="64">
        <v>49000</v>
      </c>
      <c r="E46" s="64">
        <v>49000</v>
      </c>
      <c r="F46" s="64">
        <v>49000</v>
      </c>
      <c r="G46" s="64"/>
      <c r="H46" s="64">
        <v>22898</v>
      </c>
      <c r="I46" s="64">
        <v>34895</v>
      </c>
      <c r="J46" s="64">
        <v>46068</v>
      </c>
      <c r="K46" s="64"/>
      <c r="L46" s="518">
        <f t="shared" si="12"/>
        <v>0.46730612244897957</v>
      </c>
      <c r="M46" s="518">
        <f t="shared" si="13"/>
        <v>0.71214285714285719</v>
      </c>
      <c r="N46" s="518">
        <f t="shared" si="14"/>
        <v>0.94016326530612249</v>
      </c>
      <c r="O46" s="64"/>
      <c r="P46" s="64">
        <f t="shared" si="21"/>
        <v>0</v>
      </c>
      <c r="Q46" s="64">
        <f t="shared" si="22"/>
        <v>0</v>
      </c>
      <c r="R46" s="64">
        <f t="shared" si="23"/>
        <v>0</v>
      </c>
      <c r="S46" s="64">
        <f t="shared" si="24"/>
        <v>0</v>
      </c>
      <c r="T46" s="553">
        <f>IF('8. WAMKK'!C46=0,0,+S46/'8. WAMKK'!C46)</f>
        <v>0</v>
      </c>
      <c r="U46" s="152"/>
      <c r="V46" s="690">
        <f t="shared" si="19"/>
        <v>0</v>
      </c>
      <c r="W46" s="494"/>
    </row>
    <row r="47" spans="1:23" ht="12.75" customHeight="1" x14ac:dyDescent="0.25">
      <c r="A47" s="527"/>
      <c r="B47" s="533" t="s">
        <v>47</v>
      </c>
      <c r="C47" s="64"/>
      <c r="D47" s="64"/>
      <c r="E47" s="64"/>
      <c r="F47" s="64"/>
      <c r="G47" s="64"/>
      <c r="H47" s="64"/>
      <c r="I47" s="64"/>
      <c r="J47" s="64"/>
      <c r="K47" s="64"/>
      <c r="L47" s="518">
        <f t="shared" si="12"/>
        <v>0</v>
      </c>
      <c r="M47" s="518">
        <f t="shared" si="13"/>
        <v>0</v>
      </c>
      <c r="N47" s="518">
        <f t="shared" si="14"/>
        <v>0</v>
      </c>
      <c r="O47" s="64"/>
      <c r="P47" s="64">
        <f t="shared" si="21"/>
        <v>0</v>
      </c>
      <c r="Q47" s="64">
        <f t="shared" si="22"/>
        <v>0</v>
      </c>
      <c r="R47" s="64">
        <f t="shared" si="23"/>
        <v>0</v>
      </c>
      <c r="S47" s="64">
        <f t="shared" si="24"/>
        <v>0</v>
      </c>
      <c r="T47" s="553">
        <f>IF('8. WAMKK'!C47=0,0,+S47/'8. WAMKK'!C47)</f>
        <v>0</v>
      </c>
      <c r="U47" s="152"/>
      <c r="V47" s="690">
        <f t="shared" si="19"/>
        <v>0</v>
      </c>
      <c r="W47" s="494"/>
    </row>
    <row r="48" spans="1:23" s="26" customFormat="1" ht="12.75" customHeight="1" x14ac:dyDescent="0.25">
      <c r="A48" s="515" t="s">
        <v>48</v>
      </c>
      <c r="B48" s="516" t="s">
        <v>49</v>
      </c>
      <c r="C48" s="1067">
        <f>SUM(C49:C65)</f>
        <v>2871000</v>
      </c>
      <c r="D48" s="1067">
        <f t="shared" ref="D48:F48" si="32">SUM(D49:D65)</f>
        <v>2819689</v>
      </c>
      <c r="E48" s="1067">
        <f t="shared" si="32"/>
        <v>2974629</v>
      </c>
      <c r="F48" s="1067">
        <f t="shared" si="32"/>
        <v>2795305</v>
      </c>
      <c r="G48" s="167"/>
      <c r="H48" s="1067">
        <f>SUM(H49:H65)</f>
        <v>1039651</v>
      </c>
      <c r="I48" s="1067">
        <f>SUM(I49:I65)</f>
        <v>1472945</v>
      </c>
      <c r="J48" s="1067">
        <f>SUM(J49:J65)</f>
        <v>1900827</v>
      </c>
      <c r="K48" s="167"/>
      <c r="L48" s="522">
        <f t="shared" si="12"/>
        <v>0.36212156043190524</v>
      </c>
      <c r="M48" s="522">
        <f t="shared" si="13"/>
        <v>0.52237853181680671</v>
      </c>
      <c r="N48" s="522">
        <f t="shared" si="14"/>
        <v>0.63901313407487115</v>
      </c>
      <c r="O48" s="167"/>
      <c r="P48" s="167">
        <f t="shared" si="21"/>
        <v>-51311</v>
      </c>
      <c r="Q48" s="167">
        <f t="shared" si="22"/>
        <v>154940</v>
      </c>
      <c r="R48" s="167">
        <f t="shared" si="23"/>
        <v>-179324</v>
      </c>
      <c r="S48" s="167">
        <f t="shared" si="24"/>
        <v>-75695</v>
      </c>
      <c r="T48" s="553">
        <f>IF('8. WAMKK'!C48=0,0,+S48/'8. WAMKK'!C48)</f>
        <v>-8.5773371104815865E-3</v>
      </c>
      <c r="U48" s="920"/>
      <c r="V48" s="690">
        <f t="shared" si="19"/>
        <v>0</v>
      </c>
      <c r="W48" s="524"/>
    </row>
    <row r="49" spans="1:23" ht="12.75" customHeight="1" x14ac:dyDescent="0.25">
      <c r="A49" s="527" t="s">
        <v>50</v>
      </c>
      <c r="B49" s="533" t="s">
        <v>51</v>
      </c>
      <c r="C49" s="64">
        <v>1170000</v>
      </c>
      <c r="D49" s="64">
        <v>1170000</v>
      </c>
      <c r="E49" s="64">
        <v>1170000</v>
      </c>
      <c r="F49" s="64">
        <v>1170000</v>
      </c>
      <c r="G49" s="64"/>
      <c r="H49" s="64">
        <v>194255</v>
      </c>
      <c r="I49" s="64">
        <v>332489</v>
      </c>
      <c r="J49" s="64">
        <v>470725</v>
      </c>
      <c r="K49" s="64"/>
      <c r="L49" s="518">
        <f t="shared" si="12"/>
        <v>0.16602991452991453</v>
      </c>
      <c r="M49" s="518">
        <f t="shared" si="13"/>
        <v>0.28417863247863245</v>
      </c>
      <c r="N49" s="518">
        <f t="shared" si="14"/>
        <v>0.40232905982905981</v>
      </c>
      <c r="O49" s="64"/>
      <c r="P49" s="64">
        <f t="shared" si="21"/>
        <v>0</v>
      </c>
      <c r="Q49" s="64">
        <f t="shared" si="22"/>
        <v>0</v>
      </c>
      <c r="R49" s="64">
        <f t="shared" si="23"/>
        <v>0</v>
      </c>
      <c r="S49" s="64">
        <f t="shared" si="24"/>
        <v>0</v>
      </c>
      <c r="T49" s="553">
        <f>IF('8. WAMKK'!C49=0,0,+S49/'8. WAMKK'!C49)</f>
        <v>0</v>
      </c>
      <c r="U49" s="152"/>
      <c r="V49" s="690">
        <f t="shared" si="19"/>
        <v>0</v>
      </c>
      <c r="W49" s="494"/>
    </row>
    <row r="50" spans="1:23" ht="12.75" customHeight="1" x14ac:dyDescent="0.25">
      <c r="A50" s="527" t="s">
        <v>104</v>
      </c>
      <c r="B50" s="533" t="s">
        <v>98</v>
      </c>
      <c r="C50" s="64"/>
      <c r="D50" s="64"/>
      <c r="E50" s="64"/>
      <c r="F50" s="64"/>
      <c r="G50" s="64"/>
      <c r="H50" s="64"/>
      <c r="I50" s="64"/>
      <c r="J50" s="64"/>
      <c r="K50" s="64"/>
      <c r="L50" s="518">
        <f t="shared" si="12"/>
        <v>0</v>
      </c>
      <c r="M50" s="518">
        <f t="shared" si="13"/>
        <v>0</v>
      </c>
      <c r="N50" s="518">
        <f t="shared" si="14"/>
        <v>0</v>
      </c>
      <c r="O50" s="64"/>
      <c r="P50" s="64">
        <f t="shared" si="21"/>
        <v>0</v>
      </c>
      <c r="Q50" s="64">
        <f t="shared" si="22"/>
        <v>0</v>
      </c>
      <c r="R50" s="64">
        <f t="shared" si="23"/>
        <v>0</v>
      </c>
      <c r="S50" s="64">
        <f t="shared" si="24"/>
        <v>0</v>
      </c>
      <c r="T50" s="553">
        <f>IF('8. WAMKK'!C50=0,0,+S50/'8. WAMKK'!C50)</f>
        <v>0</v>
      </c>
      <c r="U50" s="152"/>
      <c r="V50" s="690">
        <f t="shared" si="19"/>
        <v>0</v>
      </c>
      <c r="W50" s="494"/>
    </row>
    <row r="51" spans="1:23" ht="12.75" customHeight="1" x14ac:dyDescent="0.25">
      <c r="A51" s="527"/>
      <c r="B51" s="533" t="s">
        <v>99</v>
      </c>
      <c r="C51" s="64"/>
      <c r="D51" s="64"/>
      <c r="E51" s="64"/>
      <c r="F51" s="64"/>
      <c r="G51" s="64"/>
      <c r="H51" s="64"/>
      <c r="I51" s="64"/>
      <c r="J51" s="64"/>
      <c r="K51" s="64"/>
      <c r="L51" s="518">
        <f t="shared" si="12"/>
        <v>0</v>
      </c>
      <c r="M51" s="518">
        <f t="shared" si="13"/>
        <v>0</v>
      </c>
      <c r="N51" s="518">
        <f t="shared" si="14"/>
        <v>0</v>
      </c>
      <c r="O51" s="64"/>
      <c r="P51" s="64">
        <f t="shared" si="21"/>
        <v>0</v>
      </c>
      <c r="Q51" s="64">
        <f t="shared" si="22"/>
        <v>0</v>
      </c>
      <c r="R51" s="64">
        <f t="shared" si="23"/>
        <v>0</v>
      </c>
      <c r="S51" s="64">
        <f t="shared" si="24"/>
        <v>0</v>
      </c>
      <c r="T51" s="553">
        <f>IF('8. WAMKK'!C51=0,0,+S51/'8. WAMKK'!C51)</f>
        <v>0</v>
      </c>
      <c r="U51" s="152"/>
      <c r="V51" s="690">
        <f t="shared" si="19"/>
        <v>0</v>
      </c>
      <c r="W51" s="494"/>
    </row>
    <row r="52" spans="1:23" ht="12.75" customHeight="1" x14ac:dyDescent="0.25">
      <c r="A52" s="527"/>
      <c r="B52" s="533" t="s">
        <v>100</v>
      </c>
      <c r="C52" s="64"/>
      <c r="D52" s="64"/>
      <c r="E52" s="64"/>
      <c r="F52" s="64"/>
      <c r="G52" s="64"/>
      <c r="H52" s="64"/>
      <c r="I52" s="64"/>
      <c r="J52" s="64"/>
      <c r="K52" s="64"/>
      <c r="L52" s="518">
        <f t="shared" si="12"/>
        <v>0</v>
      </c>
      <c r="M52" s="518">
        <f t="shared" si="13"/>
        <v>0</v>
      </c>
      <c r="N52" s="518">
        <f t="shared" si="14"/>
        <v>0</v>
      </c>
      <c r="O52" s="64"/>
      <c r="P52" s="64">
        <f t="shared" si="21"/>
        <v>0</v>
      </c>
      <c r="Q52" s="64">
        <f t="shared" si="22"/>
        <v>0</v>
      </c>
      <c r="R52" s="64">
        <f t="shared" si="23"/>
        <v>0</v>
      </c>
      <c r="S52" s="64">
        <f t="shared" si="24"/>
        <v>0</v>
      </c>
      <c r="T52" s="553">
        <f>IF('8. WAMKK'!C52=0,0,+S52/'8. WAMKK'!C52)</f>
        <v>0</v>
      </c>
      <c r="U52" s="152"/>
      <c r="V52" s="690">
        <f t="shared" si="19"/>
        <v>0</v>
      </c>
      <c r="W52" s="494"/>
    </row>
    <row r="53" spans="1:23" ht="12.75" customHeight="1" x14ac:dyDescent="0.25">
      <c r="A53" s="527" t="s">
        <v>52</v>
      </c>
      <c r="B53" s="533" t="s">
        <v>53</v>
      </c>
      <c r="C53" s="64"/>
      <c r="D53" s="64"/>
      <c r="E53" s="64"/>
      <c r="F53" s="64">
        <v>0</v>
      </c>
      <c r="G53" s="64"/>
      <c r="H53" s="64"/>
      <c r="I53" s="64"/>
      <c r="J53" s="64">
        <v>0</v>
      </c>
      <c r="K53" s="64"/>
      <c r="L53" s="518">
        <f t="shared" si="12"/>
        <v>0</v>
      </c>
      <c r="M53" s="518">
        <f t="shared" si="13"/>
        <v>0</v>
      </c>
      <c r="N53" s="518">
        <f t="shared" si="14"/>
        <v>0</v>
      </c>
      <c r="O53" s="64"/>
      <c r="P53" s="64">
        <f t="shared" si="21"/>
        <v>0</v>
      </c>
      <c r="Q53" s="64">
        <f t="shared" si="22"/>
        <v>0</v>
      </c>
      <c r="R53" s="64">
        <f t="shared" si="23"/>
        <v>0</v>
      </c>
      <c r="S53" s="64">
        <f t="shared" si="24"/>
        <v>0</v>
      </c>
      <c r="T53" s="553">
        <f>IF('8. WAMKK'!C53=0,0,+S53/'8. WAMKK'!C53)</f>
        <v>0</v>
      </c>
      <c r="U53" s="152"/>
      <c r="V53" s="690">
        <f t="shared" si="19"/>
        <v>0</v>
      </c>
      <c r="W53" s="494"/>
    </row>
    <row r="54" spans="1:23" ht="12.75" customHeight="1" x14ac:dyDescent="0.25">
      <c r="A54" s="527"/>
      <c r="B54" s="533" t="s">
        <v>91</v>
      </c>
      <c r="C54" s="64"/>
      <c r="D54" s="64"/>
      <c r="E54" s="64"/>
      <c r="F54" s="64"/>
      <c r="G54" s="64"/>
      <c r="H54" s="64"/>
      <c r="I54" s="64"/>
      <c r="J54" s="64"/>
      <c r="K54" s="64"/>
      <c r="L54" s="518">
        <f t="shared" si="12"/>
        <v>0</v>
      </c>
      <c r="M54" s="518">
        <f t="shared" si="13"/>
        <v>0</v>
      </c>
      <c r="N54" s="518">
        <f t="shared" si="14"/>
        <v>0</v>
      </c>
      <c r="O54" s="64"/>
      <c r="P54" s="64">
        <f t="shared" si="21"/>
        <v>0</v>
      </c>
      <c r="Q54" s="64">
        <f t="shared" si="22"/>
        <v>0</v>
      </c>
      <c r="R54" s="64">
        <f t="shared" si="23"/>
        <v>0</v>
      </c>
      <c r="S54" s="64">
        <f t="shared" si="24"/>
        <v>0</v>
      </c>
      <c r="T54" s="553">
        <f>IF('8. WAMKK'!C54=0,0,+S54/'8. WAMKK'!C54)</f>
        <v>0</v>
      </c>
      <c r="U54" s="152"/>
      <c r="V54" s="690">
        <f t="shared" si="19"/>
        <v>0</v>
      </c>
      <c r="W54" s="494"/>
    </row>
    <row r="55" spans="1:23" ht="12.75" customHeight="1" x14ac:dyDescent="0.25">
      <c r="A55" s="527"/>
      <c r="B55" s="533" t="s">
        <v>54</v>
      </c>
      <c r="C55" s="64"/>
      <c r="D55" s="64"/>
      <c r="E55" s="64"/>
      <c r="F55" s="64"/>
      <c r="G55" s="64"/>
      <c r="H55" s="64"/>
      <c r="I55" s="64"/>
      <c r="J55" s="64"/>
      <c r="K55" s="64"/>
      <c r="L55" s="518">
        <f t="shared" si="12"/>
        <v>0</v>
      </c>
      <c r="M55" s="518">
        <f t="shared" si="13"/>
        <v>0</v>
      </c>
      <c r="N55" s="518">
        <f t="shared" si="14"/>
        <v>0</v>
      </c>
      <c r="O55" s="64"/>
      <c r="P55" s="64">
        <f t="shared" si="21"/>
        <v>0</v>
      </c>
      <c r="Q55" s="64">
        <f t="shared" si="22"/>
        <v>0</v>
      </c>
      <c r="R55" s="64">
        <f t="shared" si="23"/>
        <v>0</v>
      </c>
      <c r="S55" s="64">
        <f t="shared" si="24"/>
        <v>0</v>
      </c>
      <c r="T55" s="553">
        <f>IF('8. WAMKK'!C55=0,0,+S55/'8. WAMKK'!C55)</f>
        <v>0</v>
      </c>
      <c r="U55" s="152"/>
      <c r="V55" s="690">
        <f t="shared" si="19"/>
        <v>0</v>
      </c>
      <c r="W55" s="494"/>
    </row>
    <row r="56" spans="1:23" ht="12.75" customHeight="1" x14ac:dyDescent="0.25">
      <c r="A56" s="527" t="s">
        <v>55</v>
      </c>
      <c r="B56" s="533" t="s">
        <v>56</v>
      </c>
      <c r="C56" s="64"/>
      <c r="D56" s="64"/>
      <c r="E56" s="64"/>
      <c r="F56" s="64">
        <v>0</v>
      </c>
      <c r="G56" s="64"/>
      <c r="H56" s="64"/>
      <c r="I56" s="64"/>
      <c r="J56" s="64">
        <v>0</v>
      </c>
      <c r="K56" s="64"/>
      <c r="L56" s="518">
        <f t="shared" si="12"/>
        <v>0</v>
      </c>
      <c r="M56" s="518">
        <f t="shared" si="13"/>
        <v>0</v>
      </c>
      <c r="N56" s="518">
        <f t="shared" si="14"/>
        <v>0</v>
      </c>
      <c r="O56" s="64"/>
      <c r="P56" s="64">
        <f t="shared" si="21"/>
        <v>0</v>
      </c>
      <c r="Q56" s="64">
        <f t="shared" si="22"/>
        <v>0</v>
      </c>
      <c r="R56" s="64">
        <f t="shared" si="23"/>
        <v>0</v>
      </c>
      <c r="S56" s="64">
        <f t="shared" si="24"/>
        <v>0</v>
      </c>
      <c r="T56" s="553">
        <f>IF('8. WAMKK'!C56=0,0,+S56/'8. WAMKK'!C56)</f>
        <v>0</v>
      </c>
      <c r="U56" s="152"/>
      <c r="V56" s="690">
        <f t="shared" si="19"/>
        <v>0</v>
      </c>
      <c r="W56" s="494"/>
    </row>
    <row r="57" spans="1:23" ht="12.75" customHeight="1" x14ac:dyDescent="0.25">
      <c r="A57" s="527"/>
      <c r="B57" s="533" t="s">
        <v>57</v>
      </c>
      <c r="C57" s="64"/>
      <c r="D57" s="64"/>
      <c r="E57" s="64"/>
      <c r="F57" s="64"/>
      <c r="G57" s="64"/>
      <c r="H57" s="64"/>
      <c r="I57" s="64"/>
      <c r="J57" s="64"/>
      <c r="K57" s="64"/>
      <c r="L57" s="518">
        <f t="shared" si="12"/>
        <v>0</v>
      </c>
      <c r="M57" s="518">
        <f t="shared" si="13"/>
        <v>0</v>
      </c>
      <c r="N57" s="518">
        <f t="shared" si="14"/>
        <v>0</v>
      </c>
      <c r="O57" s="64"/>
      <c r="P57" s="64">
        <f t="shared" si="21"/>
        <v>0</v>
      </c>
      <c r="Q57" s="64">
        <f t="shared" si="22"/>
        <v>0</v>
      </c>
      <c r="R57" s="64">
        <f t="shared" si="23"/>
        <v>0</v>
      </c>
      <c r="S57" s="64">
        <f t="shared" si="24"/>
        <v>0</v>
      </c>
      <c r="T57" s="553">
        <f>IF('8. WAMKK'!C57=0,0,+S57/'8. WAMKK'!C57)</f>
        <v>0</v>
      </c>
      <c r="U57" s="152"/>
      <c r="V57" s="690">
        <f t="shared" si="19"/>
        <v>0</v>
      </c>
      <c r="W57" s="494"/>
    </row>
    <row r="58" spans="1:23" ht="12.75" customHeight="1" x14ac:dyDescent="0.25">
      <c r="A58" s="527" t="s">
        <v>58</v>
      </c>
      <c r="B58" s="533" t="s">
        <v>92</v>
      </c>
      <c r="C58" s="64">
        <v>750000</v>
      </c>
      <c r="D58" s="64">
        <v>703689</v>
      </c>
      <c r="E58" s="64">
        <v>558629</v>
      </c>
      <c r="F58" s="64">
        <v>379420</v>
      </c>
      <c r="G58" s="64"/>
      <c r="H58" s="64">
        <v>259093</v>
      </c>
      <c r="I58" s="64">
        <v>323593</v>
      </c>
      <c r="J58" s="64">
        <v>379420</v>
      </c>
      <c r="K58" s="64"/>
      <c r="L58" s="518">
        <f t="shared" si="12"/>
        <v>0.34545733333333334</v>
      </c>
      <c r="M58" s="518">
        <f t="shared" si="13"/>
        <v>0.45985229270316857</v>
      </c>
      <c r="N58" s="518">
        <f t="shared" si="14"/>
        <v>0.67919853784891226</v>
      </c>
      <c r="O58" s="64"/>
      <c r="P58" s="64">
        <f t="shared" si="21"/>
        <v>-46311</v>
      </c>
      <c r="Q58" s="64">
        <f t="shared" si="22"/>
        <v>-145060</v>
      </c>
      <c r="R58" s="64">
        <f t="shared" si="23"/>
        <v>-179209</v>
      </c>
      <c r="S58" s="64">
        <f t="shared" si="24"/>
        <v>-370580</v>
      </c>
      <c r="T58" s="553">
        <f>IF('8. WAMKK'!C58=0,0,+S58/'8. WAMKK'!C58)</f>
        <v>-4.9410666666666669</v>
      </c>
      <c r="U58" s="152"/>
      <c r="V58" s="690">
        <f t="shared" si="19"/>
        <v>0</v>
      </c>
      <c r="W58" s="494"/>
    </row>
    <row r="59" spans="1:23" ht="12.75" customHeight="1" x14ac:dyDescent="0.25">
      <c r="A59" s="527"/>
      <c r="B59" s="533" t="s">
        <v>59</v>
      </c>
      <c r="C59" s="129"/>
      <c r="D59" s="64"/>
      <c r="E59" s="64"/>
      <c r="F59" s="64"/>
      <c r="G59" s="64"/>
      <c r="H59" s="64"/>
      <c r="I59" s="64"/>
      <c r="J59" s="64"/>
      <c r="K59" s="64"/>
      <c r="L59" s="518">
        <f t="shared" si="12"/>
        <v>0</v>
      </c>
      <c r="M59" s="518">
        <f t="shared" si="13"/>
        <v>0</v>
      </c>
      <c r="N59" s="518">
        <f t="shared" si="14"/>
        <v>0</v>
      </c>
      <c r="O59" s="64"/>
      <c r="P59" s="64">
        <f t="shared" si="21"/>
        <v>0</v>
      </c>
      <c r="Q59" s="64">
        <f t="shared" si="22"/>
        <v>0</v>
      </c>
      <c r="R59" s="64">
        <f t="shared" si="23"/>
        <v>0</v>
      </c>
      <c r="S59" s="64">
        <f t="shared" si="24"/>
        <v>0</v>
      </c>
      <c r="T59" s="553">
        <f>IF('8. WAMKK'!C59=0,0,+S59/'8. WAMKK'!C59)</f>
        <v>0</v>
      </c>
      <c r="U59" s="152"/>
      <c r="V59" s="690">
        <f t="shared" si="19"/>
        <v>0</v>
      </c>
      <c r="W59" s="494"/>
    </row>
    <row r="60" spans="1:23" ht="12.75" customHeight="1" x14ac:dyDescent="0.25">
      <c r="A60" s="527" t="s">
        <v>60</v>
      </c>
      <c r="B60" s="533" t="s">
        <v>61</v>
      </c>
      <c r="C60" s="64">
        <v>0</v>
      </c>
      <c r="D60" s="64">
        <v>0</v>
      </c>
      <c r="E60" s="64">
        <v>0</v>
      </c>
      <c r="F60" s="64">
        <v>0</v>
      </c>
      <c r="G60" s="64"/>
      <c r="H60" s="64">
        <v>0</v>
      </c>
      <c r="I60" s="64">
        <v>0</v>
      </c>
      <c r="J60" s="64">
        <v>0</v>
      </c>
      <c r="K60" s="64"/>
      <c r="L60" s="518">
        <f t="shared" si="12"/>
        <v>0</v>
      </c>
      <c r="M60" s="518">
        <f t="shared" si="13"/>
        <v>0</v>
      </c>
      <c r="N60" s="518">
        <f t="shared" si="14"/>
        <v>0</v>
      </c>
      <c r="O60" s="64"/>
      <c r="P60" s="64">
        <f t="shared" si="21"/>
        <v>0</v>
      </c>
      <c r="Q60" s="64">
        <f t="shared" si="22"/>
        <v>0</v>
      </c>
      <c r="R60" s="64">
        <f t="shared" si="23"/>
        <v>0</v>
      </c>
      <c r="S60" s="64">
        <f t="shared" si="24"/>
        <v>0</v>
      </c>
      <c r="T60" s="553">
        <f>IF('8. WAMKK'!C60=0,0,+S60/'8. WAMKK'!C60)</f>
        <v>0</v>
      </c>
      <c r="U60" s="152"/>
      <c r="V60" s="690">
        <f t="shared" si="19"/>
        <v>0</v>
      </c>
      <c r="W60" s="494"/>
    </row>
    <row r="61" spans="1:23" ht="24.75" customHeight="1" x14ac:dyDescent="0.25">
      <c r="A61" s="533"/>
      <c r="B61" s="533" t="s">
        <v>62</v>
      </c>
      <c r="C61" s="64"/>
      <c r="D61" s="64"/>
      <c r="E61" s="64"/>
      <c r="F61" s="64"/>
      <c r="G61" s="64"/>
      <c r="H61" s="64"/>
      <c r="I61" s="64"/>
      <c r="J61" s="64"/>
      <c r="K61" s="64"/>
      <c r="L61" s="518">
        <f t="shared" si="12"/>
        <v>0</v>
      </c>
      <c r="M61" s="518">
        <f t="shared" si="13"/>
        <v>0</v>
      </c>
      <c r="N61" s="518">
        <f t="shared" si="14"/>
        <v>0</v>
      </c>
      <c r="O61" s="64"/>
      <c r="P61" s="64">
        <f t="shared" si="21"/>
        <v>0</v>
      </c>
      <c r="Q61" s="64">
        <f t="shared" si="22"/>
        <v>0</v>
      </c>
      <c r="R61" s="64">
        <f t="shared" si="23"/>
        <v>0</v>
      </c>
      <c r="S61" s="64">
        <f t="shared" si="24"/>
        <v>0</v>
      </c>
      <c r="T61" s="553">
        <f>IF('8. WAMKK'!C61=0,0,+S61/'8. WAMKK'!C61)</f>
        <v>0</v>
      </c>
      <c r="U61" s="152"/>
      <c r="V61" s="690">
        <f t="shared" si="19"/>
        <v>0</v>
      </c>
      <c r="W61" s="494"/>
    </row>
    <row r="62" spans="1:23" ht="12.75" customHeight="1" x14ac:dyDescent="0.25">
      <c r="A62" s="527" t="s">
        <v>63</v>
      </c>
      <c r="B62" s="533" t="s">
        <v>64</v>
      </c>
      <c r="C62" s="64">
        <v>51000</v>
      </c>
      <c r="D62" s="64">
        <v>51000</v>
      </c>
      <c r="E62" s="64">
        <v>51000</v>
      </c>
      <c r="F62" s="64">
        <v>51000</v>
      </c>
      <c r="G62" s="64"/>
      <c r="H62" s="64">
        <v>50700</v>
      </c>
      <c r="I62" s="64">
        <v>50700</v>
      </c>
      <c r="J62" s="64">
        <v>50700</v>
      </c>
      <c r="K62" s="64"/>
      <c r="L62" s="518">
        <f t="shared" si="12"/>
        <v>0.99411764705882355</v>
      </c>
      <c r="M62" s="518">
        <f t="shared" si="13"/>
        <v>0.99411764705882355</v>
      </c>
      <c r="N62" s="518">
        <f t="shared" si="14"/>
        <v>0.99411764705882355</v>
      </c>
      <c r="O62" s="64"/>
      <c r="P62" s="64">
        <f t="shared" si="21"/>
        <v>0</v>
      </c>
      <c r="Q62" s="64">
        <f t="shared" si="22"/>
        <v>0</v>
      </c>
      <c r="R62" s="64">
        <f t="shared" si="23"/>
        <v>0</v>
      </c>
      <c r="S62" s="64">
        <f t="shared" si="24"/>
        <v>0</v>
      </c>
      <c r="T62" s="553">
        <f>IF('8. WAMKK'!C62=0,0,+S62/'8. WAMKK'!C62)</f>
        <v>0</v>
      </c>
      <c r="U62" s="152"/>
      <c r="V62" s="690">
        <f t="shared" si="19"/>
        <v>0</v>
      </c>
      <c r="W62" s="494"/>
    </row>
    <row r="63" spans="1:23" ht="39.75" customHeight="1" x14ac:dyDescent="0.25">
      <c r="A63" s="527"/>
      <c r="B63" s="533" t="s">
        <v>103</v>
      </c>
      <c r="C63" s="64"/>
      <c r="D63" s="64"/>
      <c r="E63" s="64"/>
      <c r="F63" s="64"/>
      <c r="G63" s="64"/>
      <c r="H63" s="64"/>
      <c r="I63" s="64"/>
      <c r="J63" s="64"/>
      <c r="K63" s="64"/>
      <c r="L63" s="518">
        <f t="shared" si="12"/>
        <v>0</v>
      </c>
      <c r="M63" s="518">
        <f t="shared" si="13"/>
        <v>0</v>
      </c>
      <c r="N63" s="518">
        <f t="shared" si="14"/>
        <v>0</v>
      </c>
      <c r="O63" s="64"/>
      <c r="P63" s="64">
        <f t="shared" si="21"/>
        <v>0</v>
      </c>
      <c r="Q63" s="64">
        <f t="shared" si="22"/>
        <v>0</v>
      </c>
      <c r="R63" s="64">
        <f t="shared" si="23"/>
        <v>0</v>
      </c>
      <c r="S63" s="64">
        <f t="shared" si="24"/>
        <v>0</v>
      </c>
      <c r="T63" s="553">
        <f>IF('8. WAMKK'!C63=0,0,+S63/'8. WAMKK'!C63)</f>
        <v>0</v>
      </c>
      <c r="U63" s="152"/>
      <c r="V63" s="690">
        <f t="shared" si="19"/>
        <v>0</v>
      </c>
      <c r="W63" s="494"/>
    </row>
    <row r="64" spans="1:23" ht="12.75" customHeight="1" x14ac:dyDescent="0.25">
      <c r="A64" s="527" t="s">
        <v>65</v>
      </c>
      <c r="B64" s="533" t="s">
        <v>66</v>
      </c>
      <c r="C64" s="64">
        <v>900000</v>
      </c>
      <c r="D64" s="64">
        <v>895000</v>
      </c>
      <c r="E64" s="64">
        <v>1195000</v>
      </c>
      <c r="F64" s="64">
        <v>1194885</v>
      </c>
      <c r="G64" s="64"/>
      <c r="H64" s="64">
        <v>535603</v>
      </c>
      <c r="I64" s="64">
        <v>766163</v>
      </c>
      <c r="J64" s="64">
        <v>999982</v>
      </c>
      <c r="K64" s="64"/>
      <c r="L64" s="518">
        <f t="shared" si="12"/>
        <v>0.59511444444444439</v>
      </c>
      <c r="M64" s="518">
        <f t="shared" si="13"/>
        <v>0.85604804469273743</v>
      </c>
      <c r="N64" s="518">
        <f t="shared" si="14"/>
        <v>0.83680502092050213</v>
      </c>
      <c r="O64" s="64"/>
      <c r="P64" s="64">
        <f t="shared" si="21"/>
        <v>-5000</v>
      </c>
      <c r="Q64" s="64">
        <f t="shared" si="22"/>
        <v>300000</v>
      </c>
      <c r="R64" s="64">
        <f t="shared" si="23"/>
        <v>-115</v>
      </c>
      <c r="S64" s="64">
        <f t="shared" si="24"/>
        <v>294885</v>
      </c>
      <c r="T64" s="553">
        <f>IF('8. WAMKK'!C64=0,0,+S64/'8. WAMKK'!C64)</f>
        <v>6.1434374999999999E-2</v>
      </c>
      <c r="U64" s="152"/>
      <c r="V64" s="690">
        <f t="shared" si="19"/>
        <v>0</v>
      </c>
      <c r="W64" s="494"/>
    </row>
    <row r="65" spans="1:23" ht="39" customHeight="1" x14ac:dyDescent="0.25">
      <c r="A65" s="527"/>
      <c r="B65" s="533" t="s">
        <v>67</v>
      </c>
      <c r="C65" s="64"/>
      <c r="D65" s="64"/>
      <c r="E65" s="64"/>
      <c r="F65" s="64"/>
      <c r="G65" s="64"/>
      <c r="H65" s="64"/>
      <c r="I65" s="64"/>
      <c r="J65" s="64"/>
      <c r="K65" s="64"/>
      <c r="L65" s="518">
        <f t="shared" si="12"/>
        <v>0</v>
      </c>
      <c r="M65" s="518">
        <f t="shared" si="13"/>
        <v>0</v>
      </c>
      <c r="N65" s="518">
        <f t="shared" si="14"/>
        <v>0</v>
      </c>
      <c r="O65" s="64"/>
      <c r="P65" s="64">
        <f t="shared" si="21"/>
        <v>0</v>
      </c>
      <c r="Q65" s="64">
        <f t="shared" si="22"/>
        <v>0</v>
      </c>
      <c r="R65" s="64">
        <f t="shared" si="23"/>
        <v>0</v>
      </c>
      <c r="S65" s="64">
        <f t="shared" si="24"/>
        <v>0</v>
      </c>
      <c r="T65" s="553">
        <f>IF('8. WAMKK'!C65=0,0,+S65/'8. WAMKK'!C65)</f>
        <v>0</v>
      </c>
      <c r="U65" s="152"/>
      <c r="V65" s="690">
        <f t="shared" si="19"/>
        <v>0</v>
      </c>
      <c r="W65" s="494"/>
    </row>
    <row r="66" spans="1:23" s="26" customFormat="1" ht="12.75" customHeight="1" x14ac:dyDescent="0.25">
      <c r="A66" s="515" t="s">
        <v>68</v>
      </c>
      <c r="B66" s="516" t="s">
        <v>69</v>
      </c>
      <c r="C66" s="1067">
        <f>+C67+C69</f>
        <v>240000</v>
      </c>
      <c r="D66" s="1067">
        <f t="shared" ref="D66:F66" si="33">+D67+D69</f>
        <v>240000</v>
      </c>
      <c r="E66" s="1067">
        <f t="shared" si="33"/>
        <v>240000</v>
      </c>
      <c r="F66" s="1067">
        <f t="shared" si="33"/>
        <v>240115</v>
      </c>
      <c r="G66" s="167"/>
      <c r="H66" s="1067">
        <f>+H67+H69</f>
        <v>100110</v>
      </c>
      <c r="I66" s="1067">
        <f>+I67+I69</f>
        <v>120105</v>
      </c>
      <c r="J66" s="1067">
        <f>+J67+J69</f>
        <v>240115</v>
      </c>
      <c r="K66" s="167"/>
      <c r="L66" s="522">
        <f t="shared" si="12"/>
        <v>0.41712500000000002</v>
      </c>
      <c r="M66" s="522">
        <f t="shared" si="13"/>
        <v>0.50043749999999998</v>
      </c>
      <c r="N66" s="522">
        <f t="shared" si="14"/>
        <v>1.0004791666666666</v>
      </c>
      <c r="O66" s="167"/>
      <c r="P66" s="167">
        <f t="shared" si="21"/>
        <v>0</v>
      </c>
      <c r="Q66" s="167">
        <f t="shared" si="22"/>
        <v>0</v>
      </c>
      <c r="R66" s="167">
        <f t="shared" si="23"/>
        <v>115</v>
      </c>
      <c r="S66" s="167">
        <f t="shared" si="24"/>
        <v>115</v>
      </c>
      <c r="T66" s="553">
        <f>IF('8. WAMKK'!C66=0,0,+S66/'8. WAMKK'!C66)</f>
        <v>1.642857142857143E-3</v>
      </c>
      <c r="U66" s="920"/>
      <c r="V66" s="690">
        <f t="shared" si="19"/>
        <v>0</v>
      </c>
      <c r="W66" s="524"/>
    </row>
    <row r="67" spans="1:23" ht="12.75" customHeight="1" x14ac:dyDescent="0.25">
      <c r="A67" s="527" t="s">
        <v>70</v>
      </c>
      <c r="B67" s="533" t="s">
        <v>71</v>
      </c>
      <c r="C67" s="64">
        <v>240000</v>
      </c>
      <c r="D67" s="64">
        <v>240000</v>
      </c>
      <c r="E67" s="64">
        <v>240000</v>
      </c>
      <c r="F67" s="64">
        <v>240115</v>
      </c>
      <c r="G67" s="64"/>
      <c r="H67" s="64">
        <v>100110</v>
      </c>
      <c r="I67" s="64">
        <v>120105</v>
      </c>
      <c r="J67" s="64">
        <v>240115</v>
      </c>
      <c r="K67" s="64"/>
      <c r="L67" s="518">
        <f t="shared" si="12"/>
        <v>0.41712500000000002</v>
      </c>
      <c r="M67" s="518">
        <f t="shared" si="13"/>
        <v>0.50043749999999998</v>
      </c>
      <c r="N67" s="518">
        <f t="shared" si="14"/>
        <v>1.0004791666666666</v>
      </c>
      <c r="O67" s="64"/>
      <c r="P67" s="64">
        <f t="shared" si="21"/>
        <v>0</v>
      </c>
      <c r="Q67" s="64">
        <f t="shared" si="22"/>
        <v>0</v>
      </c>
      <c r="R67" s="64">
        <f t="shared" si="23"/>
        <v>115</v>
      </c>
      <c r="S67" s="64">
        <f t="shared" si="24"/>
        <v>115</v>
      </c>
      <c r="T67" s="553">
        <f>IF('8. WAMKK'!C67=0,0,+S67/'8. WAMKK'!C67)</f>
        <v>1.642857142857143E-3</v>
      </c>
      <c r="U67" s="152"/>
      <c r="V67" s="690">
        <f t="shared" si="19"/>
        <v>0</v>
      </c>
      <c r="W67" s="494"/>
    </row>
    <row r="68" spans="1:23" ht="12.75" customHeight="1" x14ac:dyDescent="0.25">
      <c r="A68" s="527"/>
      <c r="B68" s="533" t="s">
        <v>72</v>
      </c>
      <c r="C68" s="64"/>
      <c r="D68" s="64"/>
      <c r="E68" s="64"/>
      <c r="F68" s="64"/>
      <c r="G68" s="64"/>
      <c r="H68" s="64"/>
      <c r="I68" s="64"/>
      <c r="J68" s="64"/>
      <c r="K68" s="64"/>
      <c r="L68" s="518">
        <f t="shared" si="12"/>
        <v>0</v>
      </c>
      <c r="M68" s="518">
        <f t="shared" si="13"/>
        <v>0</v>
      </c>
      <c r="N68" s="518">
        <f t="shared" si="14"/>
        <v>0</v>
      </c>
      <c r="O68" s="64"/>
      <c r="P68" s="64">
        <f t="shared" si="21"/>
        <v>0</v>
      </c>
      <c r="Q68" s="64">
        <f t="shared" si="22"/>
        <v>0</v>
      </c>
      <c r="R68" s="64">
        <f t="shared" si="23"/>
        <v>0</v>
      </c>
      <c r="S68" s="64">
        <f t="shared" si="24"/>
        <v>0</v>
      </c>
      <c r="T68" s="553">
        <f>IF('8. WAMKK'!C68=0,0,+S68/'8. WAMKK'!C68)</f>
        <v>0</v>
      </c>
      <c r="U68" s="152"/>
      <c r="V68" s="690">
        <f t="shared" si="19"/>
        <v>0</v>
      </c>
      <c r="W68" s="494"/>
    </row>
    <row r="69" spans="1:23" ht="12.75" customHeight="1" x14ac:dyDescent="0.25">
      <c r="A69" s="527" t="s">
        <v>73</v>
      </c>
      <c r="B69" s="533" t="s">
        <v>101</v>
      </c>
      <c r="C69" s="64"/>
      <c r="D69" s="64"/>
      <c r="E69" s="64"/>
      <c r="F69" s="64"/>
      <c r="G69" s="64"/>
      <c r="H69" s="64"/>
      <c r="I69" s="64"/>
      <c r="J69" s="64"/>
      <c r="K69" s="64"/>
      <c r="L69" s="518">
        <f t="shared" si="12"/>
        <v>0</v>
      </c>
      <c r="M69" s="518">
        <f t="shared" si="13"/>
        <v>0</v>
      </c>
      <c r="N69" s="518">
        <f t="shared" si="14"/>
        <v>0</v>
      </c>
      <c r="O69" s="64"/>
      <c r="P69" s="64">
        <f t="shared" si="21"/>
        <v>0</v>
      </c>
      <c r="Q69" s="64">
        <f t="shared" si="22"/>
        <v>0</v>
      </c>
      <c r="R69" s="64">
        <f t="shared" si="23"/>
        <v>0</v>
      </c>
      <c r="S69" s="64">
        <f t="shared" si="24"/>
        <v>0</v>
      </c>
      <c r="T69" s="553">
        <f>IF('8. WAMKK'!C69=0,0,+S69/'8. WAMKK'!C69)</f>
        <v>0</v>
      </c>
      <c r="U69" s="152"/>
      <c r="V69" s="690">
        <f t="shared" si="19"/>
        <v>0</v>
      </c>
      <c r="W69" s="494"/>
    </row>
    <row r="70" spans="1:23" ht="12.75" customHeight="1" x14ac:dyDescent="0.25">
      <c r="A70" s="527"/>
      <c r="B70" s="533" t="s">
        <v>74</v>
      </c>
      <c r="C70" s="64"/>
      <c r="D70" s="64"/>
      <c r="E70" s="64"/>
      <c r="F70" s="64"/>
      <c r="G70" s="64"/>
      <c r="H70" s="64"/>
      <c r="I70" s="64"/>
      <c r="J70" s="64"/>
      <c r="K70" s="64"/>
      <c r="L70" s="518">
        <f t="shared" si="12"/>
        <v>0</v>
      </c>
      <c r="M70" s="518">
        <f t="shared" si="13"/>
        <v>0</v>
      </c>
      <c r="N70" s="518">
        <f t="shared" si="14"/>
        <v>0</v>
      </c>
      <c r="O70" s="64"/>
      <c r="P70" s="64">
        <f t="shared" si="21"/>
        <v>0</v>
      </c>
      <c r="Q70" s="64">
        <f t="shared" si="22"/>
        <v>0</v>
      </c>
      <c r="R70" s="64">
        <f t="shared" si="23"/>
        <v>0</v>
      </c>
      <c r="S70" s="64">
        <f t="shared" si="24"/>
        <v>0</v>
      </c>
      <c r="T70" s="553">
        <f>IF('8. WAMKK'!C70=0,0,+S70/'8. WAMKK'!C70)</f>
        <v>0</v>
      </c>
      <c r="U70" s="152"/>
      <c r="V70" s="690">
        <f t="shared" si="19"/>
        <v>0</v>
      </c>
      <c r="W70" s="494"/>
    </row>
    <row r="71" spans="1:23" s="26" customFormat="1" ht="12.75" customHeight="1" x14ac:dyDescent="0.25">
      <c r="A71" s="515" t="s">
        <v>75</v>
      </c>
      <c r="B71" s="516" t="s">
        <v>76</v>
      </c>
      <c r="C71" s="1067">
        <f>SUM(C72:C81)</f>
        <v>14000000</v>
      </c>
      <c r="D71" s="1067">
        <f t="shared" ref="D71:F71" si="34">SUM(D72:D81)</f>
        <v>14005000</v>
      </c>
      <c r="E71" s="1067">
        <f t="shared" si="34"/>
        <v>13705000</v>
      </c>
      <c r="F71" s="1067">
        <f t="shared" si="34"/>
        <v>12205000</v>
      </c>
      <c r="G71" s="167"/>
      <c r="H71" s="1067">
        <f>SUM(H72:H81)</f>
        <v>6186470</v>
      </c>
      <c r="I71" s="1067">
        <f>SUM(I72:I81)</f>
        <v>7659669</v>
      </c>
      <c r="J71" s="1067">
        <f>SUM(J72:J81)</f>
        <v>10990864</v>
      </c>
      <c r="K71" s="167"/>
      <c r="L71" s="522">
        <f t="shared" si="12"/>
        <v>0.4418907142857143</v>
      </c>
      <c r="M71" s="522">
        <f t="shared" si="13"/>
        <v>0.5469238843270261</v>
      </c>
      <c r="N71" s="522">
        <f t="shared" si="14"/>
        <v>0.80196016052535568</v>
      </c>
      <c r="O71" s="167"/>
      <c r="P71" s="167">
        <f t="shared" si="21"/>
        <v>5000</v>
      </c>
      <c r="Q71" s="167">
        <f t="shared" si="22"/>
        <v>-300000</v>
      </c>
      <c r="R71" s="167">
        <f t="shared" si="23"/>
        <v>-1500000</v>
      </c>
      <c r="S71" s="167">
        <f t="shared" si="24"/>
        <v>-1795000</v>
      </c>
      <c r="T71" s="553">
        <f>IF('8. WAMKK'!C71=0,0,+S71/'8. WAMKK'!C71)</f>
        <v>-0.77370689655172409</v>
      </c>
      <c r="U71" s="920"/>
      <c r="V71" s="690">
        <f t="shared" si="19"/>
        <v>0</v>
      </c>
      <c r="W71" s="524"/>
    </row>
    <row r="72" spans="1:23" ht="12.75" customHeight="1" x14ac:dyDescent="0.25">
      <c r="A72" s="527" t="s">
        <v>77</v>
      </c>
      <c r="B72" s="533" t="s">
        <v>78</v>
      </c>
      <c r="C72" s="64">
        <v>10000000</v>
      </c>
      <c r="D72" s="64">
        <v>10000000</v>
      </c>
      <c r="E72" s="64">
        <v>10000000</v>
      </c>
      <c r="F72" s="64">
        <v>11475303</v>
      </c>
      <c r="G72" s="64"/>
      <c r="H72" s="64">
        <v>5461526</v>
      </c>
      <c r="I72" s="64">
        <v>6934032</v>
      </c>
      <c r="J72" s="64">
        <v>10265132</v>
      </c>
      <c r="K72" s="64"/>
      <c r="L72" s="518">
        <f t="shared" si="12"/>
        <v>0.54615259999999999</v>
      </c>
      <c r="M72" s="518">
        <f t="shared" si="13"/>
        <v>0.6934032</v>
      </c>
      <c r="N72" s="518">
        <f t="shared" si="14"/>
        <v>1.0265131999999999</v>
      </c>
      <c r="O72" s="64"/>
      <c r="P72" s="64">
        <f t="shared" si="21"/>
        <v>0</v>
      </c>
      <c r="Q72" s="64">
        <f t="shared" si="22"/>
        <v>0</v>
      </c>
      <c r="R72" s="64">
        <f t="shared" si="23"/>
        <v>1475303</v>
      </c>
      <c r="S72" s="64">
        <f t="shared" si="24"/>
        <v>1475303</v>
      </c>
      <c r="T72" s="553">
        <f>IF('8. WAMKK'!C72=0,0,+S72/'8. WAMKK'!C72)</f>
        <v>0.64143608695652177</v>
      </c>
      <c r="U72" s="152"/>
      <c r="V72" s="690">
        <f t="shared" si="19"/>
        <v>0</v>
      </c>
      <c r="W72" s="494"/>
    </row>
    <row r="73" spans="1:23" ht="12.75" customHeight="1" x14ac:dyDescent="0.25">
      <c r="A73" s="527"/>
      <c r="B73" s="533" t="s">
        <v>79</v>
      </c>
      <c r="C73" s="64">
        <v>0</v>
      </c>
      <c r="D73" s="64"/>
      <c r="E73" s="64"/>
      <c r="F73" s="64"/>
      <c r="G73" s="64"/>
      <c r="H73" s="64"/>
      <c r="I73" s="64">
        <v>0</v>
      </c>
      <c r="J73" s="64"/>
      <c r="K73" s="64"/>
      <c r="L73" s="518">
        <f t="shared" si="12"/>
        <v>0</v>
      </c>
      <c r="M73" s="518">
        <f t="shared" si="13"/>
        <v>0</v>
      </c>
      <c r="N73" s="518">
        <f t="shared" si="14"/>
        <v>0</v>
      </c>
      <c r="O73" s="64"/>
      <c r="P73" s="64">
        <f t="shared" si="21"/>
        <v>0</v>
      </c>
      <c r="Q73" s="64">
        <f t="shared" si="22"/>
        <v>0</v>
      </c>
      <c r="R73" s="64">
        <f t="shared" si="23"/>
        <v>0</v>
      </c>
      <c r="S73" s="64">
        <f t="shared" si="24"/>
        <v>0</v>
      </c>
      <c r="T73" s="553">
        <f>IF('8. WAMKK'!C73=0,0,+S73/'8. WAMKK'!C73)</f>
        <v>0</v>
      </c>
      <c r="U73" s="152"/>
      <c r="V73" s="690">
        <f t="shared" si="19"/>
        <v>0</v>
      </c>
      <c r="W73" s="494"/>
    </row>
    <row r="74" spans="1:23" ht="12.75" customHeight="1" x14ac:dyDescent="0.25">
      <c r="A74" s="527" t="s">
        <v>80</v>
      </c>
      <c r="B74" s="533" t="s">
        <v>81</v>
      </c>
      <c r="C74" s="64">
        <v>4000000</v>
      </c>
      <c r="D74" s="64">
        <v>4000000</v>
      </c>
      <c r="E74" s="64">
        <v>3700000</v>
      </c>
      <c r="F74" s="64">
        <v>724697</v>
      </c>
      <c r="G74" s="64"/>
      <c r="H74" s="64">
        <v>723000</v>
      </c>
      <c r="I74" s="64">
        <v>723000</v>
      </c>
      <c r="J74" s="64">
        <v>723000</v>
      </c>
      <c r="K74" s="64"/>
      <c r="L74" s="518">
        <f t="shared" si="12"/>
        <v>0.18074999999999999</v>
      </c>
      <c r="M74" s="518">
        <f t="shared" si="13"/>
        <v>0.18074999999999999</v>
      </c>
      <c r="N74" s="518">
        <f t="shared" si="14"/>
        <v>0.19540540540540541</v>
      </c>
      <c r="O74" s="64"/>
      <c r="P74" s="64">
        <f t="shared" si="21"/>
        <v>0</v>
      </c>
      <c r="Q74" s="64">
        <f t="shared" si="22"/>
        <v>-300000</v>
      </c>
      <c r="R74" s="64">
        <f t="shared" si="23"/>
        <v>-2975303</v>
      </c>
      <c r="S74" s="64">
        <f t="shared" si="24"/>
        <v>-3275303</v>
      </c>
      <c r="T74" s="553">
        <f>IF('8. WAMKK'!C74=0,0,+S74/'8. WAMKK'!C74)</f>
        <v>-327.53030000000001</v>
      </c>
      <c r="U74" s="152"/>
      <c r="V74" s="690">
        <f t="shared" si="19"/>
        <v>0</v>
      </c>
      <c r="W74" s="494"/>
    </row>
    <row r="75" spans="1:23" ht="12.75" customHeight="1" x14ac:dyDescent="0.25">
      <c r="A75" s="527"/>
      <c r="B75" s="533" t="s">
        <v>102</v>
      </c>
      <c r="C75" s="64"/>
      <c r="D75" s="64"/>
      <c r="E75" s="64"/>
      <c r="F75" s="64"/>
      <c r="G75" s="64"/>
      <c r="H75" s="64"/>
      <c r="I75" s="64"/>
      <c r="J75" s="64"/>
      <c r="K75" s="64"/>
      <c r="L75" s="518">
        <f t="shared" si="12"/>
        <v>0</v>
      </c>
      <c r="M75" s="518">
        <f t="shared" si="13"/>
        <v>0</v>
      </c>
      <c r="N75" s="518">
        <f t="shared" si="14"/>
        <v>0</v>
      </c>
      <c r="O75" s="64"/>
      <c r="P75" s="64">
        <f t="shared" si="21"/>
        <v>0</v>
      </c>
      <c r="Q75" s="64">
        <f t="shared" si="22"/>
        <v>0</v>
      </c>
      <c r="R75" s="64">
        <f t="shared" si="23"/>
        <v>0</v>
      </c>
      <c r="S75" s="64">
        <f t="shared" si="24"/>
        <v>0</v>
      </c>
      <c r="T75" s="553">
        <f>IF('8. WAMKK'!C75=0,0,+S75/'8. WAMKK'!C75)</f>
        <v>0</v>
      </c>
      <c r="U75" s="152"/>
      <c r="V75" s="690">
        <f t="shared" si="19"/>
        <v>0</v>
      </c>
      <c r="W75" s="494"/>
    </row>
    <row r="76" spans="1:23" ht="12.75" customHeight="1" x14ac:dyDescent="0.25">
      <c r="A76" s="527" t="s">
        <v>82</v>
      </c>
      <c r="B76" s="533" t="s">
        <v>83</v>
      </c>
      <c r="C76" s="64"/>
      <c r="D76" s="64"/>
      <c r="E76" s="64"/>
      <c r="F76" s="64">
        <v>0</v>
      </c>
      <c r="G76" s="64"/>
      <c r="H76" s="64"/>
      <c r="I76" s="64"/>
      <c r="J76" s="64"/>
      <c r="K76" s="64"/>
      <c r="L76" s="518">
        <f t="shared" si="12"/>
        <v>0</v>
      </c>
      <c r="M76" s="518">
        <f t="shared" si="13"/>
        <v>0</v>
      </c>
      <c r="N76" s="518">
        <f t="shared" si="14"/>
        <v>0</v>
      </c>
      <c r="O76" s="64"/>
      <c r="P76" s="64">
        <f t="shared" si="21"/>
        <v>0</v>
      </c>
      <c r="Q76" s="64">
        <f t="shared" si="22"/>
        <v>0</v>
      </c>
      <c r="R76" s="64">
        <f t="shared" si="23"/>
        <v>0</v>
      </c>
      <c r="S76" s="64">
        <f t="shared" si="24"/>
        <v>0</v>
      </c>
      <c r="T76" s="553">
        <f>IF('8. WAMKK'!C76=0,0,+S76/'8. WAMKK'!C76)</f>
        <v>0</v>
      </c>
      <c r="U76" s="152"/>
      <c r="V76" s="690">
        <f t="shared" si="19"/>
        <v>0</v>
      </c>
      <c r="W76" s="494"/>
    </row>
    <row r="77" spans="1:23" ht="12.75" customHeight="1" x14ac:dyDescent="0.25">
      <c r="A77" s="527"/>
      <c r="B77" s="533" t="s">
        <v>107</v>
      </c>
      <c r="C77" s="64"/>
      <c r="D77" s="64"/>
      <c r="E77" s="64"/>
      <c r="F77" s="64"/>
      <c r="G77" s="64"/>
      <c r="H77" s="64"/>
      <c r="I77" s="64"/>
      <c r="J77" s="64"/>
      <c r="K77" s="64"/>
      <c r="L77" s="518">
        <f t="shared" ref="L77:L102" si="35">IF(C77=0,0,H77/C77)</f>
        <v>0</v>
      </c>
      <c r="M77" s="518">
        <f t="shared" ref="M77:M102" si="36">IF(D77=0,0,I77/D77)</f>
        <v>0</v>
      </c>
      <c r="N77" s="518">
        <f t="shared" ref="N77:N102" si="37">IF(E77=0,0,J77/E77)</f>
        <v>0</v>
      </c>
      <c r="O77" s="64"/>
      <c r="P77" s="64">
        <f t="shared" si="21"/>
        <v>0</v>
      </c>
      <c r="Q77" s="64">
        <f t="shared" si="22"/>
        <v>0</v>
      </c>
      <c r="R77" s="64">
        <f t="shared" si="23"/>
        <v>0</v>
      </c>
      <c r="S77" s="64">
        <f t="shared" si="24"/>
        <v>0</v>
      </c>
      <c r="T77" s="553">
        <f>IF('8. WAMKK'!C77=0,0,+S77/'8. WAMKK'!C77)</f>
        <v>0</v>
      </c>
      <c r="U77" s="152"/>
      <c r="V77" s="690">
        <f t="shared" si="19"/>
        <v>0</v>
      </c>
      <c r="W77" s="494"/>
    </row>
    <row r="78" spans="1:23" ht="12.75" customHeight="1" x14ac:dyDescent="0.25">
      <c r="A78" s="527" t="s">
        <v>85</v>
      </c>
      <c r="B78" s="533" t="s">
        <v>86</v>
      </c>
      <c r="C78" s="64"/>
      <c r="D78" s="64"/>
      <c r="E78" s="64"/>
      <c r="F78" s="64">
        <v>0</v>
      </c>
      <c r="G78" s="64"/>
      <c r="H78" s="64"/>
      <c r="I78" s="64"/>
      <c r="J78" s="64"/>
      <c r="K78" s="64"/>
      <c r="L78" s="518">
        <f t="shared" si="35"/>
        <v>0</v>
      </c>
      <c r="M78" s="518">
        <f t="shared" si="36"/>
        <v>0</v>
      </c>
      <c r="N78" s="518">
        <f t="shared" si="37"/>
        <v>0</v>
      </c>
      <c r="O78" s="64"/>
      <c r="P78" s="64">
        <f t="shared" si="21"/>
        <v>0</v>
      </c>
      <c r="Q78" s="64">
        <f t="shared" si="22"/>
        <v>0</v>
      </c>
      <c r="R78" s="64">
        <f t="shared" si="23"/>
        <v>0</v>
      </c>
      <c r="S78" s="64">
        <f t="shared" si="24"/>
        <v>0</v>
      </c>
      <c r="T78" s="553">
        <f>IF('8. WAMKK'!C78=0,0,+S78/'8. WAMKK'!C78)</f>
        <v>0</v>
      </c>
      <c r="U78" s="152"/>
      <c r="V78" s="690">
        <f t="shared" ref="V78:V102" si="38">+S78-F78+C78</f>
        <v>0</v>
      </c>
      <c r="W78" s="494"/>
    </row>
    <row r="79" spans="1:23" ht="12.75" customHeight="1" x14ac:dyDescent="0.25">
      <c r="A79" s="527"/>
      <c r="B79" s="533" t="s">
        <v>87</v>
      </c>
      <c r="C79" s="64"/>
      <c r="D79" s="64"/>
      <c r="E79" s="64"/>
      <c r="F79" s="64"/>
      <c r="G79" s="64"/>
      <c r="H79" s="64"/>
      <c r="I79" s="64"/>
      <c r="J79" s="64"/>
      <c r="K79" s="64"/>
      <c r="L79" s="518">
        <f t="shared" si="35"/>
        <v>0</v>
      </c>
      <c r="M79" s="518">
        <f t="shared" si="36"/>
        <v>0</v>
      </c>
      <c r="N79" s="518">
        <f t="shared" si="37"/>
        <v>0</v>
      </c>
      <c r="O79" s="64"/>
      <c r="P79" s="64">
        <f t="shared" si="21"/>
        <v>0</v>
      </c>
      <c r="Q79" s="64">
        <f t="shared" si="22"/>
        <v>0</v>
      </c>
      <c r="R79" s="64">
        <f t="shared" si="23"/>
        <v>0</v>
      </c>
      <c r="S79" s="64">
        <f t="shared" si="24"/>
        <v>0</v>
      </c>
      <c r="T79" s="553">
        <f>IF('8. WAMKK'!C79=0,0,+S79/'8. WAMKK'!C79)</f>
        <v>0</v>
      </c>
      <c r="U79" s="152"/>
      <c r="V79" s="690">
        <f t="shared" si="38"/>
        <v>0</v>
      </c>
      <c r="W79" s="494"/>
    </row>
    <row r="80" spans="1:23" ht="12.75" customHeight="1" x14ac:dyDescent="0.25">
      <c r="A80" s="527" t="s">
        <v>88</v>
      </c>
      <c r="B80" s="533" t="s">
        <v>89</v>
      </c>
      <c r="C80" s="64">
        <v>0</v>
      </c>
      <c r="D80" s="64">
        <v>5000</v>
      </c>
      <c r="E80" s="64">
        <v>5000</v>
      </c>
      <c r="F80" s="64">
        <v>5000</v>
      </c>
      <c r="G80" s="64"/>
      <c r="H80" s="64">
        <v>1944</v>
      </c>
      <c r="I80" s="64">
        <v>2637</v>
      </c>
      <c r="J80" s="64">
        <v>2732</v>
      </c>
      <c r="K80" s="64"/>
      <c r="L80" s="518">
        <f t="shared" si="35"/>
        <v>0</v>
      </c>
      <c r="M80" s="518">
        <f t="shared" si="36"/>
        <v>0.52739999999999998</v>
      </c>
      <c r="N80" s="518">
        <f t="shared" si="37"/>
        <v>0.5464</v>
      </c>
      <c r="O80" s="64"/>
      <c r="P80" s="64">
        <f t="shared" ref="P80:P102" si="39">+(D80-C80)*P$10</f>
        <v>5000</v>
      </c>
      <c r="Q80" s="64">
        <f t="shared" ref="Q80:Q102" si="40">+(E80-D80)*Q$10</f>
        <v>0</v>
      </c>
      <c r="R80" s="64">
        <f t="shared" ref="R80:R102" si="41">+(F80-E80)*R$10</f>
        <v>0</v>
      </c>
      <c r="S80" s="64">
        <f t="shared" ref="S80:S102" si="42">SUM(P80:R80)</f>
        <v>5000</v>
      </c>
      <c r="T80" s="553">
        <f>IF('8. WAMKK'!C80=0,0,+S80/'8. WAMKK'!C80)</f>
        <v>0.5</v>
      </c>
      <c r="U80" s="152"/>
      <c r="V80" s="690">
        <f t="shared" si="38"/>
        <v>0</v>
      </c>
      <c r="W80" s="494"/>
    </row>
    <row r="81" spans="1:24" ht="12.75" customHeight="1" x14ac:dyDescent="0.25">
      <c r="A81" s="527"/>
      <c r="B81" s="533" t="s">
        <v>93</v>
      </c>
      <c r="C81" s="64"/>
      <c r="D81" s="64"/>
      <c r="E81" s="64"/>
      <c r="F81" s="64"/>
      <c r="G81" s="64"/>
      <c r="H81" s="64"/>
      <c r="I81" s="64"/>
      <c r="J81" s="64"/>
      <c r="K81" s="64"/>
      <c r="L81" s="518">
        <f t="shared" si="35"/>
        <v>0</v>
      </c>
      <c r="M81" s="518">
        <f t="shared" si="36"/>
        <v>0</v>
      </c>
      <c r="N81" s="518">
        <f t="shared" si="37"/>
        <v>0</v>
      </c>
      <c r="O81" s="64"/>
      <c r="P81" s="64">
        <f t="shared" si="39"/>
        <v>0</v>
      </c>
      <c r="Q81" s="64">
        <f t="shared" si="40"/>
        <v>0</v>
      </c>
      <c r="R81" s="64">
        <f t="shared" si="41"/>
        <v>0</v>
      </c>
      <c r="S81" s="64">
        <f t="shared" si="42"/>
        <v>0</v>
      </c>
      <c r="T81" s="553">
        <f>IF('8. WAMKK'!C81=0,0,+S81/'8. WAMKK'!C81)</f>
        <v>0</v>
      </c>
      <c r="U81" s="152"/>
      <c r="V81" s="690">
        <f t="shared" si="38"/>
        <v>0</v>
      </c>
      <c r="W81" s="494"/>
    </row>
    <row r="82" spans="1:24" ht="12.75" customHeight="1" x14ac:dyDescent="0.25">
      <c r="A82" s="642"/>
      <c r="B82" s="643"/>
      <c r="C82" s="64"/>
      <c r="D82" s="64"/>
      <c r="E82" s="64"/>
      <c r="F82" s="64"/>
      <c r="G82" s="64"/>
      <c r="H82" s="64"/>
      <c r="I82" s="64"/>
      <c r="J82" s="64"/>
      <c r="K82" s="64"/>
      <c r="L82" s="546">
        <f t="shared" si="35"/>
        <v>0</v>
      </c>
      <c r="M82" s="546">
        <f t="shared" si="36"/>
        <v>0</v>
      </c>
      <c r="N82" s="546">
        <f t="shared" si="37"/>
        <v>0</v>
      </c>
      <c r="O82" s="64"/>
      <c r="P82" s="64">
        <f t="shared" si="39"/>
        <v>0</v>
      </c>
      <c r="Q82" s="64">
        <f t="shared" si="40"/>
        <v>0</v>
      </c>
      <c r="R82" s="64">
        <f t="shared" si="41"/>
        <v>0</v>
      </c>
      <c r="S82" s="64">
        <f t="shared" si="42"/>
        <v>0</v>
      </c>
      <c r="T82" s="553">
        <f>IF('8. WAMKK'!C82=0,0,+S82/'8. WAMKK'!C82)</f>
        <v>0</v>
      </c>
      <c r="U82" s="152"/>
      <c r="V82" s="690">
        <f t="shared" si="38"/>
        <v>0</v>
      </c>
      <c r="W82" s="494"/>
    </row>
    <row r="83" spans="1:24" s="26" customFormat="1" ht="12.75" customHeight="1" x14ac:dyDescent="0.25">
      <c r="A83" s="512" t="s">
        <v>159</v>
      </c>
      <c r="B83" s="599" t="s">
        <v>160</v>
      </c>
      <c r="C83" s="130">
        <f>SUM(C84:C85)</f>
        <v>750000</v>
      </c>
      <c r="D83" s="130">
        <f t="shared" ref="D83:F83" si="43">SUM(D84:D85)</f>
        <v>5558811</v>
      </c>
      <c r="E83" s="130">
        <f t="shared" si="43"/>
        <v>5766368</v>
      </c>
      <c r="F83" s="130">
        <f t="shared" si="43"/>
        <v>5766368</v>
      </c>
      <c r="G83" s="130"/>
      <c r="H83" s="130">
        <f t="shared" ref="H83:J83" si="44">SUM(H84:H85)</f>
        <v>5558811</v>
      </c>
      <c r="I83" s="130">
        <f t="shared" si="44"/>
        <v>5766368</v>
      </c>
      <c r="J83" s="130">
        <f t="shared" si="44"/>
        <v>5766368</v>
      </c>
      <c r="K83" s="131"/>
      <c r="L83" s="514">
        <f t="shared" si="35"/>
        <v>7.4117480000000002</v>
      </c>
      <c r="M83" s="514">
        <f t="shared" si="36"/>
        <v>1.0373383804558205</v>
      </c>
      <c r="N83" s="514">
        <f t="shared" si="37"/>
        <v>1</v>
      </c>
      <c r="O83" s="131"/>
      <c r="P83" s="131">
        <f t="shared" si="39"/>
        <v>4808811</v>
      </c>
      <c r="Q83" s="131">
        <f t="shared" si="40"/>
        <v>207557</v>
      </c>
      <c r="R83" s="131">
        <f t="shared" si="41"/>
        <v>0</v>
      </c>
      <c r="S83" s="131">
        <f t="shared" si="42"/>
        <v>5016368</v>
      </c>
      <c r="T83" s="552">
        <f>IF('8. WAMKK'!C80=0,0,+S83/'8. WAMKK'!C80)</f>
        <v>501.63679999999999</v>
      </c>
      <c r="U83" s="152"/>
      <c r="V83" s="690">
        <f t="shared" si="38"/>
        <v>0</v>
      </c>
      <c r="W83" s="524"/>
    </row>
    <row r="84" spans="1:24" ht="12.75" customHeight="1" x14ac:dyDescent="0.25">
      <c r="A84" s="632"/>
      <c r="B84" s="533"/>
      <c r="C84" s="132">
        <v>750000</v>
      </c>
      <c r="D84" s="132">
        <v>5558811</v>
      </c>
      <c r="E84" s="132">
        <v>5766368</v>
      </c>
      <c r="F84" s="132">
        <v>5766368</v>
      </c>
      <c r="G84" s="132"/>
      <c r="H84" s="64">
        <v>5558811</v>
      </c>
      <c r="I84" s="64">
        <v>5766368</v>
      </c>
      <c r="J84" s="64">
        <v>5766368</v>
      </c>
      <c r="K84" s="132"/>
      <c r="L84" s="518">
        <f t="shared" si="35"/>
        <v>7.4117480000000002</v>
      </c>
      <c r="M84" s="518">
        <f t="shared" si="36"/>
        <v>1.0373383804558205</v>
      </c>
      <c r="N84" s="518">
        <f t="shared" si="37"/>
        <v>1</v>
      </c>
      <c r="O84" s="132"/>
      <c r="P84" s="64">
        <f t="shared" si="39"/>
        <v>4808811</v>
      </c>
      <c r="Q84" s="64">
        <f t="shared" si="40"/>
        <v>207557</v>
      </c>
      <c r="R84" s="64">
        <f t="shared" si="41"/>
        <v>0</v>
      </c>
      <c r="S84" s="64">
        <f t="shared" si="42"/>
        <v>5016368</v>
      </c>
      <c r="T84" s="553">
        <f>IF('8. WAMKK'!C81=0,0,+S84/'8. WAMKK'!C81)</f>
        <v>0</v>
      </c>
      <c r="U84" s="152"/>
      <c r="V84" s="690">
        <f t="shared" si="38"/>
        <v>0</v>
      </c>
      <c r="W84" s="585"/>
    </row>
    <row r="85" spans="1:24" ht="12.75" hidden="1" customHeight="1" x14ac:dyDescent="0.25">
      <c r="A85" s="527"/>
      <c r="B85" s="533"/>
      <c r="C85" s="132"/>
      <c r="D85" s="64"/>
      <c r="E85" s="64"/>
      <c r="F85" s="64"/>
      <c r="G85" s="64"/>
      <c r="H85" s="64"/>
      <c r="I85" s="64"/>
      <c r="J85" s="64"/>
      <c r="K85" s="64"/>
      <c r="L85" s="546">
        <f t="shared" si="35"/>
        <v>0</v>
      </c>
      <c r="M85" s="546">
        <f t="shared" si="36"/>
        <v>0</v>
      </c>
      <c r="N85" s="546">
        <f t="shared" si="37"/>
        <v>0</v>
      </c>
      <c r="O85" s="64"/>
      <c r="P85" s="64">
        <f t="shared" si="39"/>
        <v>0</v>
      </c>
      <c r="Q85" s="64">
        <f t="shared" si="40"/>
        <v>0</v>
      </c>
      <c r="R85" s="64">
        <f t="shared" si="41"/>
        <v>0</v>
      </c>
      <c r="S85" s="64">
        <f t="shared" si="42"/>
        <v>0</v>
      </c>
      <c r="T85" s="553">
        <f>IF('8. WAMKK'!C82=0,0,+S85/'8. WAMKK'!C82)</f>
        <v>0</v>
      </c>
      <c r="U85" s="152"/>
      <c r="V85" s="690">
        <f t="shared" si="38"/>
        <v>0</v>
      </c>
      <c r="W85" s="494"/>
    </row>
    <row r="86" spans="1:24" s="26" customFormat="1" ht="12.75" customHeight="1" x14ac:dyDescent="0.25">
      <c r="A86" s="512" t="s">
        <v>174</v>
      </c>
      <c r="B86" s="599" t="s">
        <v>175</v>
      </c>
      <c r="C86" s="130">
        <f>SUM(C87:C88)</f>
        <v>0</v>
      </c>
      <c r="D86" s="130">
        <f t="shared" ref="D86:F86" si="45">SUM(D87:D88)</f>
        <v>0</v>
      </c>
      <c r="E86" s="130">
        <f t="shared" si="45"/>
        <v>0</v>
      </c>
      <c r="F86" s="130">
        <f t="shared" si="45"/>
        <v>0</v>
      </c>
      <c r="G86" s="130"/>
      <c r="H86" s="130">
        <f t="shared" ref="H86:J86" si="46">SUM(H87:H88)</f>
        <v>0</v>
      </c>
      <c r="I86" s="130">
        <f t="shared" si="46"/>
        <v>0</v>
      </c>
      <c r="J86" s="130">
        <f t="shared" si="46"/>
        <v>0</v>
      </c>
      <c r="K86" s="131"/>
      <c r="L86" s="514">
        <f t="shared" si="35"/>
        <v>0</v>
      </c>
      <c r="M86" s="514">
        <f t="shared" si="36"/>
        <v>0</v>
      </c>
      <c r="N86" s="514">
        <f t="shared" si="37"/>
        <v>0</v>
      </c>
      <c r="O86" s="131"/>
      <c r="P86" s="131">
        <f t="shared" ref="P86:P88" si="47">+(D86-C86)*P$10</f>
        <v>0</v>
      </c>
      <c r="Q86" s="131">
        <f t="shared" ref="Q86:Q88" si="48">+(E86-D86)*Q$10</f>
        <v>0</v>
      </c>
      <c r="R86" s="131">
        <f t="shared" ref="R86:R88" si="49">+(F86-E86)*R$10</f>
        <v>0</v>
      </c>
      <c r="S86" s="131">
        <f t="shared" ref="S86:S88" si="50">SUM(P86:R86)</f>
        <v>0</v>
      </c>
      <c r="T86" s="552">
        <f>IF('8. WAMKK'!C83=0,0,+S86/'8. WAMKK'!C83)</f>
        <v>0</v>
      </c>
      <c r="U86" s="152"/>
      <c r="V86" s="690">
        <f t="shared" si="38"/>
        <v>0</v>
      </c>
      <c r="W86" s="524"/>
    </row>
    <row r="87" spans="1:24" ht="12.75" customHeight="1" x14ac:dyDescent="0.25">
      <c r="A87" s="632"/>
      <c r="B87" s="533"/>
      <c r="C87" s="132"/>
      <c r="D87" s="132"/>
      <c r="E87" s="132"/>
      <c r="F87" s="132"/>
      <c r="G87" s="132"/>
      <c r="H87" s="64"/>
      <c r="I87" s="64"/>
      <c r="J87" s="64"/>
      <c r="K87" s="132"/>
      <c r="L87" s="518">
        <f t="shared" si="35"/>
        <v>0</v>
      </c>
      <c r="M87" s="518">
        <f t="shared" si="36"/>
        <v>0</v>
      </c>
      <c r="N87" s="518">
        <f t="shared" si="37"/>
        <v>0</v>
      </c>
      <c r="O87" s="132"/>
      <c r="P87" s="64">
        <f t="shared" si="47"/>
        <v>0</v>
      </c>
      <c r="Q87" s="64">
        <f t="shared" si="48"/>
        <v>0</v>
      </c>
      <c r="R87" s="64">
        <f t="shared" si="49"/>
        <v>0</v>
      </c>
      <c r="S87" s="64">
        <f t="shared" si="50"/>
        <v>0</v>
      </c>
      <c r="T87" s="553">
        <f>IF('8. WAMKK'!C84=0,0,+S87/'8. WAMKK'!C84)</f>
        <v>0</v>
      </c>
      <c r="U87" s="152"/>
      <c r="V87" s="690">
        <f t="shared" si="38"/>
        <v>0</v>
      </c>
      <c r="W87" s="585"/>
    </row>
    <row r="88" spans="1:24" ht="12.75" hidden="1" customHeight="1" x14ac:dyDescent="0.25">
      <c r="A88" s="527"/>
      <c r="B88" s="533"/>
      <c r="C88" s="132"/>
      <c r="D88" s="64"/>
      <c r="E88" s="64"/>
      <c r="F88" s="64"/>
      <c r="G88" s="64"/>
      <c r="H88" s="64"/>
      <c r="I88" s="64"/>
      <c r="J88" s="64"/>
      <c r="K88" s="64"/>
      <c r="L88" s="546">
        <f t="shared" si="35"/>
        <v>0</v>
      </c>
      <c r="M88" s="546">
        <f t="shared" si="36"/>
        <v>0</v>
      </c>
      <c r="N88" s="546">
        <f t="shared" si="37"/>
        <v>0</v>
      </c>
      <c r="O88" s="64"/>
      <c r="P88" s="64">
        <f t="shared" si="47"/>
        <v>0</v>
      </c>
      <c r="Q88" s="64">
        <f t="shared" si="48"/>
        <v>0</v>
      </c>
      <c r="R88" s="64">
        <f t="shared" si="49"/>
        <v>0</v>
      </c>
      <c r="S88" s="64">
        <f t="shared" si="50"/>
        <v>0</v>
      </c>
      <c r="T88" s="553">
        <f>IF('8. WAMKK'!C85=0,0,+S88/'8. WAMKK'!C85)</f>
        <v>0</v>
      </c>
      <c r="U88" s="152"/>
      <c r="V88" s="690">
        <f t="shared" si="38"/>
        <v>0</v>
      </c>
      <c r="W88" s="494"/>
    </row>
    <row r="89" spans="1:24" ht="17.25" customHeight="1" x14ac:dyDescent="0.25">
      <c r="A89" s="156"/>
      <c r="B89" s="147" t="s">
        <v>381</v>
      </c>
      <c r="C89" s="154">
        <f>C13+C29+C32+C83+C86</f>
        <v>101873641.25</v>
      </c>
      <c r="D89" s="154">
        <f t="shared" ref="D89:J89" si="51">D13+D29+D32+D83+D86</f>
        <v>106636141</v>
      </c>
      <c r="E89" s="154">
        <f t="shared" si="51"/>
        <v>106636141</v>
      </c>
      <c r="F89" s="154">
        <f t="shared" si="51"/>
        <v>109136141</v>
      </c>
      <c r="G89" s="154"/>
      <c r="H89" s="154">
        <f t="shared" si="51"/>
        <v>56921071</v>
      </c>
      <c r="I89" s="154">
        <f t="shared" si="51"/>
        <v>73340181</v>
      </c>
      <c r="J89" s="154">
        <f t="shared" si="51"/>
        <v>101584271</v>
      </c>
      <c r="K89" s="128"/>
      <c r="L89" s="514">
        <f t="shared" si="35"/>
        <v>0.55874189144093245</v>
      </c>
      <c r="M89" s="514">
        <f t="shared" si="36"/>
        <v>0.68776101903387521</v>
      </c>
      <c r="N89" s="514">
        <f t="shared" si="37"/>
        <v>0.95262516110743356</v>
      </c>
      <c r="O89" s="128"/>
      <c r="P89" s="154">
        <f t="shared" si="39"/>
        <v>4762499.75</v>
      </c>
      <c r="Q89" s="154">
        <f t="shared" si="40"/>
        <v>0</v>
      </c>
      <c r="R89" s="154">
        <f t="shared" si="41"/>
        <v>2500000</v>
      </c>
      <c r="S89" s="154">
        <f t="shared" si="42"/>
        <v>7262499.75</v>
      </c>
      <c r="T89" s="552">
        <f>IF('8. WAMKK'!C89=0,0,+S89/'8. WAMKK'!C89)</f>
        <v>0.21537790111447874</v>
      </c>
      <c r="U89" s="152"/>
      <c r="V89" s="690">
        <f t="shared" si="38"/>
        <v>0</v>
      </c>
      <c r="W89" s="494"/>
    </row>
    <row r="90" spans="1:24" ht="10.35" customHeight="1" x14ac:dyDescent="0.25">
      <c r="A90" s="591"/>
      <c r="B90" s="591"/>
      <c r="C90" s="592"/>
      <c r="D90" s="133"/>
      <c r="E90" s="133"/>
      <c r="F90" s="133"/>
      <c r="G90" s="133"/>
      <c r="H90" s="133"/>
      <c r="I90" s="133"/>
      <c r="J90" s="133"/>
      <c r="K90" s="133"/>
      <c r="L90" s="554">
        <f t="shared" si="35"/>
        <v>0</v>
      </c>
      <c r="M90" s="554">
        <f t="shared" si="36"/>
        <v>0</v>
      </c>
      <c r="N90" s="554">
        <f t="shared" si="37"/>
        <v>0</v>
      </c>
      <c r="O90" s="133"/>
      <c r="P90" s="133"/>
      <c r="Q90" s="133"/>
      <c r="R90" s="133"/>
      <c r="S90" s="133"/>
      <c r="T90" s="547"/>
      <c r="U90" s="593"/>
      <c r="V90" s="690">
        <f t="shared" si="38"/>
        <v>0</v>
      </c>
      <c r="W90" s="557"/>
      <c r="X90" s="46"/>
    </row>
    <row r="91" spans="1:24" ht="10.35" customHeight="1" x14ac:dyDescent="0.25">
      <c r="A91" s="594"/>
      <c r="B91" s="594"/>
      <c r="C91" s="595"/>
      <c r="D91" s="596"/>
      <c r="E91" s="596"/>
      <c r="F91" s="596"/>
      <c r="G91" s="596"/>
      <c r="H91" s="596"/>
      <c r="I91" s="596"/>
      <c r="J91" s="596"/>
      <c r="K91" s="596"/>
      <c r="L91" s="555">
        <f t="shared" si="35"/>
        <v>0</v>
      </c>
      <c r="M91" s="555">
        <f t="shared" si="36"/>
        <v>0</v>
      </c>
      <c r="N91" s="555">
        <f t="shared" si="37"/>
        <v>0</v>
      </c>
      <c r="O91" s="596"/>
      <c r="P91" s="596"/>
      <c r="Q91" s="596"/>
      <c r="R91" s="596"/>
      <c r="S91" s="596"/>
      <c r="T91" s="548"/>
      <c r="U91" s="597"/>
      <c r="V91" s="690">
        <f t="shared" si="38"/>
        <v>0</v>
      </c>
      <c r="W91" s="557"/>
      <c r="X91" s="46"/>
    </row>
    <row r="92" spans="1:24" ht="10.35" customHeight="1" x14ac:dyDescent="0.25">
      <c r="A92" s="591"/>
      <c r="B92" s="591"/>
      <c r="C92" s="592"/>
      <c r="D92" s="133"/>
      <c r="E92" s="133"/>
      <c r="F92" s="133"/>
      <c r="G92" s="133"/>
      <c r="H92" s="133"/>
      <c r="I92" s="133"/>
      <c r="J92" s="133"/>
      <c r="K92" s="133"/>
      <c r="L92" s="554">
        <f t="shared" si="35"/>
        <v>0</v>
      </c>
      <c r="M92" s="554">
        <f t="shared" si="36"/>
        <v>0</v>
      </c>
      <c r="N92" s="554">
        <f t="shared" si="37"/>
        <v>0</v>
      </c>
      <c r="O92" s="133"/>
      <c r="P92" s="133"/>
      <c r="Q92" s="133"/>
      <c r="R92" s="133"/>
      <c r="S92" s="133"/>
      <c r="T92" s="547"/>
      <c r="U92" s="593"/>
      <c r="V92" s="690">
        <f t="shared" si="38"/>
        <v>0</v>
      </c>
      <c r="W92" s="557"/>
      <c r="X92" s="46"/>
    </row>
    <row r="93" spans="1:24" s="26" customFormat="1" ht="12.75" customHeight="1" x14ac:dyDescent="0.25">
      <c r="A93" s="512" t="s">
        <v>242</v>
      </c>
      <c r="B93" s="599" t="s">
        <v>243</v>
      </c>
      <c r="C93" s="130">
        <f>SUM(C94:C94)</f>
        <v>0</v>
      </c>
      <c r="D93" s="130">
        <f>SUM(D94:D94)</f>
        <v>0</v>
      </c>
      <c r="E93" s="130">
        <f>SUM(E94:E94)</f>
        <v>0</v>
      </c>
      <c r="F93" s="130">
        <f>SUM(F94:F94)</f>
        <v>0</v>
      </c>
      <c r="G93" s="130"/>
      <c r="H93" s="130">
        <f>SUM(H94:H94)</f>
        <v>0</v>
      </c>
      <c r="I93" s="130">
        <f>SUM(I94:I94)</f>
        <v>0</v>
      </c>
      <c r="J93" s="130">
        <f>SUM(J94:J94)</f>
        <v>0</v>
      </c>
      <c r="K93" s="131"/>
      <c r="L93" s="514">
        <f t="shared" si="35"/>
        <v>0</v>
      </c>
      <c r="M93" s="514">
        <f t="shared" si="36"/>
        <v>0</v>
      </c>
      <c r="N93" s="514">
        <f t="shared" si="37"/>
        <v>0</v>
      </c>
      <c r="O93" s="131"/>
      <c r="P93" s="131">
        <f t="shared" ref="P93:P94" si="52">+(D93-C93)*P$10</f>
        <v>0</v>
      </c>
      <c r="Q93" s="131">
        <f t="shared" ref="Q93:Q94" si="53">+(E93-D93)*Q$10</f>
        <v>0</v>
      </c>
      <c r="R93" s="131">
        <f t="shared" ref="R93:R94" si="54">+(F93-E93)*R$10</f>
        <v>0</v>
      </c>
      <c r="S93" s="131">
        <f t="shared" ref="S93:S94" si="55">SUM(P93:R93)</f>
        <v>0</v>
      </c>
      <c r="T93" s="552">
        <f>IF('8. WAMKK'!C90=0,0,+S93/'8. WAMKK'!C90)</f>
        <v>0</v>
      </c>
      <c r="U93" s="152"/>
      <c r="V93" s="690">
        <f t="shared" si="38"/>
        <v>0</v>
      </c>
      <c r="W93" s="524"/>
    </row>
    <row r="94" spans="1:24" ht="12.75" customHeight="1" x14ac:dyDescent="0.25">
      <c r="A94" s="632"/>
      <c r="B94" s="533"/>
      <c r="C94" s="132"/>
      <c r="D94" s="132"/>
      <c r="E94" s="132"/>
      <c r="F94" s="132"/>
      <c r="G94" s="132"/>
      <c r="H94" s="64"/>
      <c r="I94" s="64"/>
      <c r="J94" s="64"/>
      <c r="K94" s="132"/>
      <c r="L94" s="518">
        <f t="shared" si="35"/>
        <v>0</v>
      </c>
      <c r="M94" s="518">
        <f t="shared" si="36"/>
        <v>0</v>
      </c>
      <c r="N94" s="518">
        <f t="shared" si="37"/>
        <v>0</v>
      </c>
      <c r="O94" s="132"/>
      <c r="P94" s="64">
        <f t="shared" si="52"/>
        <v>0</v>
      </c>
      <c r="Q94" s="64">
        <f t="shared" si="53"/>
        <v>0</v>
      </c>
      <c r="R94" s="64">
        <f t="shared" si="54"/>
        <v>0</v>
      </c>
      <c r="S94" s="64">
        <f t="shared" si="55"/>
        <v>0</v>
      </c>
      <c r="T94" s="553">
        <f>IF('8. WAMKK'!C91=0,0,+S94/'8. WAMKK'!C91)</f>
        <v>0</v>
      </c>
      <c r="U94" s="152"/>
      <c r="V94" s="690">
        <f t="shared" si="38"/>
        <v>0</v>
      </c>
      <c r="W94" s="585"/>
    </row>
    <row r="95" spans="1:24" s="26" customFormat="1" ht="12.75" customHeight="1" x14ac:dyDescent="0.25">
      <c r="A95" s="512" t="s">
        <v>285</v>
      </c>
      <c r="B95" s="513" t="s">
        <v>286</v>
      </c>
      <c r="C95" s="130">
        <f>SUM(C96:C98)</f>
        <v>28181000</v>
      </c>
      <c r="D95" s="130">
        <f t="shared" ref="D95:J95" si="56">SUM(D96:D98)</f>
        <v>28181000</v>
      </c>
      <c r="E95" s="130">
        <f t="shared" si="56"/>
        <v>28181000</v>
      </c>
      <c r="F95" s="130">
        <f t="shared" si="56"/>
        <v>29152019</v>
      </c>
      <c r="G95" s="130"/>
      <c r="H95" s="130">
        <f t="shared" si="56"/>
        <v>14943138</v>
      </c>
      <c r="I95" s="130">
        <f t="shared" si="56"/>
        <v>18250951</v>
      </c>
      <c r="J95" s="130">
        <f t="shared" si="56"/>
        <v>26409403</v>
      </c>
      <c r="K95" s="131"/>
      <c r="L95" s="514">
        <f t="shared" si="35"/>
        <v>0.5302557751676662</v>
      </c>
      <c r="M95" s="514">
        <f t="shared" si="36"/>
        <v>0.64763319257655871</v>
      </c>
      <c r="N95" s="514">
        <f t="shared" si="37"/>
        <v>0.93713505553387033</v>
      </c>
      <c r="O95" s="131"/>
      <c r="P95" s="131">
        <f t="shared" si="39"/>
        <v>0</v>
      </c>
      <c r="Q95" s="131">
        <f t="shared" si="40"/>
        <v>0</v>
      </c>
      <c r="R95" s="131">
        <f t="shared" si="41"/>
        <v>971019</v>
      </c>
      <c r="S95" s="131">
        <f t="shared" si="42"/>
        <v>971019</v>
      </c>
      <c r="T95" s="552">
        <f>IF('8. WAMKK'!C93=0,0,+S95/'8. WAMKK'!C93)</f>
        <v>0</v>
      </c>
      <c r="U95" s="152"/>
      <c r="V95" s="690">
        <f t="shared" si="38"/>
        <v>0</v>
      </c>
      <c r="W95" s="524"/>
    </row>
    <row r="96" spans="1:24" ht="12.75" customHeight="1" x14ac:dyDescent="0.25">
      <c r="A96" s="527" t="s">
        <v>296</v>
      </c>
      <c r="B96" s="533" t="s">
        <v>297</v>
      </c>
      <c r="C96" s="132">
        <v>21931000</v>
      </c>
      <c r="D96" s="64">
        <v>21931000</v>
      </c>
      <c r="E96" s="64">
        <v>21931000</v>
      </c>
      <c r="F96" s="64">
        <v>22727078</v>
      </c>
      <c r="G96" s="64"/>
      <c r="H96" s="64">
        <v>11764157</v>
      </c>
      <c r="I96" s="64">
        <v>14368352</v>
      </c>
      <c r="J96" s="64">
        <v>20781061</v>
      </c>
      <c r="K96" s="64"/>
      <c r="L96" s="518">
        <f t="shared" si="35"/>
        <v>0.53641680725913088</v>
      </c>
      <c r="M96" s="518">
        <f t="shared" si="36"/>
        <v>0.65516173453102911</v>
      </c>
      <c r="N96" s="518">
        <f t="shared" si="37"/>
        <v>0.94756559208426427</v>
      </c>
      <c r="O96" s="64"/>
      <c r="P96" s="64">
        <f t="shared" si="39"/>
        <v>0</v>
      </c>
      <c r="Q96" s="64">
        <f t="shared" si="40"/>
        <v>0</v>
      </c>
      <c r="R96" s="64">
        <f t="shared" si="41"/>
        <v>796078</v>
      </c>
      <c r="S96" s="64">
        <f t="shared" si="42"/>
        <v>796078</v>
      </c>
      <c r="T96" s="553">
        <f>IF('8. WAMKK'!C94=0,0,+S96/'8. WAMKK'!C94)</f>
        <v>0</v>
      </c>
      <c r="U96" s="152"/>
      <c r="V96" s="690">
        <f t="shared" si="38"/>
        <v>0</v>
      </c>
      <c r="W96" s="494"/>
    </row>
    <row r="97" spans="1:23" ht="12.75" customHeight="1" x14ac:dyDescent="0.25">
      <c r="A97" s="527" t="s">
        <v>299</v>
      </c>
      <c r="B97" s="533" t="s">
        <v>300</v>
      </c>
      <c r="C97" s="132">
        <v>6125000</v>
      </c>
      <c r="D97" s="64">
        <v>6125000</v>
      </c>
      <c r="E97" s="64">
        <v>6125000</v>
      </c>
      <c r="F97" s="64">
        <v>6299941</v>
      </c>
      <c r="G97" s="64"/>
      <c r="H97" s="64">
        <v>3176352</v>
      </c>
      <c r="I97" s="166">
        <v>3879493</v>
      </c>
      <c r="J97" s="64">
        <v>5610975</v>
      </c>
      <c r="K97" s="64"/>
      <c r="L97" s="518">
        <f t="shared" si="35"/>
        <v>0.51858808163265302</v>
      </c>
      <c r="M97" s="518">
        <f t="shared" si="36"/>
        <v>0.63338661224489801</v>
      </c>
      <c r="N97" s="518">
        <f t="shared" si="37"/>
        <v>0.91607755102040811</v>
      </c>
      <c r="O97" s="64"/>
      <c r="P97" s="64">
        <f t="shared" si="39"/>
        <v>0</v>
      </c>
      <c r="Q97" s="64">
        <f t="shared" si="40"/>
        <v>0</v>
      </c>
      <c r="R97" s="64">
        <f t="shared" si="41"/>
        <v>174941</v>
      </c>
      <c r="S97" s="64">
        <f t="shared" si="42"/>
        <v>174941</v>
      </c>
      <c r="T97" s="553">
        <f>IF('8. WAMKK'!C95=0,0,+S97/'8. WAMKK'!C95)</f>
        <v>9.6599116510215355E-2</v>
      </c>
      <c r="U97" s="152"/>
      <c r="V97" s="690">
        <f t="shared" si="38"/>
        <v>0</v>
      </c>
      <c r="W97" s="494"/>
    </row>
    <row r="98" spans="1:23" ht="12.75" customHeight="1" x14ac:dyDescent="0.25">
      <c r="A98" s="534" t="s">
        <v>470</v>
      </c>
      <c r="B98" s="530" t="s">
        <v>472</v>
      </c>
      <c r="C98" s="132">
        <v>125000</v>
      </c>
      <c r="D98" s="64">
        <v>125000</v>
      </c>
      <c r="E98" s="64">
        <v>125000</v>
      </c>
      <c r="F98" s="64">
        <v>125000</v>
      </c>
      <c r="G98" s="64"/>
      <c r="H98" s="64">
        <f>111+2518</f>
        <v>2629</v>
      </c>
      <c r="I98" s="64">
        <f>188+2918</f>
        <v>3106</v>
      </c>
      <c r="J98" s="64">
        <f>252+17115</f>
        <v>17367</v>
      </c>
      <c r="K98" s="64"/>
      <c r="L98" s="703">
        <f t="shared" si="35"/>
        <v>2.1031999999999999E-2</v>
      </c>
      <c r="M98" s="703">
        <f t="shared" si="36"/>
        <v>2.4847999999999999E-2</v>
      </c>
      <c r="N98" s="703">
        <f t="shared" si="37"/>
        <v>0.138936</v>
      </c>
      <c r="O98" s="64"/>
      <c r="P98" s="64">
        <f t="shared" si="39"/>
        <v>0</v>
      </c>
      <c r="Q98" s="64">
        <f t="shared" si="40"/>
        <v>0</v>
      </c>
      <c r="R98" s="64">
        <f t="shared" si="41"/>
        <v>0</v>
      </c>
      <c r="S98" s="64">
        <f t="shared" si="42"/>
        <v>0</v>
      </c>
      <c r="T98" s="553">
        <f>IF('8. WAMKK'!C96=0,0,+S98/'8. WAMKK'!C96)</f>
        <v>0</v>
      </c>
      <c r="U98" s="152"/>
      <c r="V98" s="690">
        <f t="shared" si="38"/>
        <v>0</v>
      </c>
      <c r="W98" s="494"/>
    </row>
    <row r="99" spans="1:23" s="26" customFormat="1" ht="12.75" customHeight="1" x14ac:dyDescent="0.25">
      <c r="A99" s="512" t="s">
        <v>335</v>
      </c>
      <c r="B99" s="513" t="s">
        <v>336</v>
      </c>
      <c r="C99" s="130">
        <f>SUM(C100:C101)</f>
        <v>73692641.25</v>
      </c>
      <c r="D99" s="130">
        <f t="shared" ref="D99:J99" si="57">SUM(D100:D101)</f>
        <v>78455141</v>
      </c>
      <c r="E99" s="130">
        <f t="shared" si="57"/>
        <v>78455141</v>
      </c>
      <c r="F99" s="130">
        <f t="shared" si="57"/>
        <v>79984122</v>
      </c>
      <c r="G99" s="130"/>
      <c r="H99" s="130">
        <f t="shared" si="57"/>
        <v>45678991</v>
      </c>
      <c r="I99" s="130">
        <f t="shared" si="57"/>
        <v>62761792</v>
      </c>
      <c r="J99" s="130">
        <f t="shared" si="57"/>
        <v>79984122</v>
      </c>
      <c r="K99" s="131"/>
      <c r="L99" s="514">
        <f t="shared" si="35"/>
        <v>0.61985824127317457</v>
      </c>
      <c r="M99" s="514">
        <f t="shared" si="36"/>
        <v>0.7999704187645269</v>
      </c>
      <c r="N99" s="514">
        <f t="shared" si="37"/>
        <v>1.019488601773082</v>
      </c>
      <c r="O99" s="131"/>
      <c r="P99" s="131">
        <f t="shared" si="39"/>
        <v>4762499.75</v>
      </c>
      <c r="Q99" s="131">
        <f t="shared" si="40"/>
        <v>0</v>
      </c>
      <c r="R99" s="131">
        <f t="shared" si="41"/>
        <v>1528981</v>
      </c>
      <c r="S99" s="131">
        <f t="shared" si="42"/>
        <v>6291480.75</v>
      </c>
      <c r="T99" s="552">
        <f>IF('8. WAMKK'!C97=0,0,+S99/'8. WAMKK'!C97)</f>
        <v>571.95279545454548</v>
      </c>
      <c r="U99" s="152"/>
      <c r="V99" s="690">
        <f t="shared" si="38"/>
        <v>0</v>
      </c>
      <c r="W99" s="524"/>
    </row>
    <row r="100" spans="1:23" ht="12.75" customHeight="1" x14ac:dyDescent="0.25">
      <c r="A100" s="632" t="s">
        <v>361</v>
      </c>
      <c r="B100" s="533" t="s">
        <v>327</v>
      </c>
      <c r="C100" s="132">
        <f>+C104</f>
        <v>68143642.25</v>
      </c>
      <c r="D100" s="132">
        <v>72906142</v>
      </c>
      <c r="E100" s="132">
        <v>72906142</v>
      </c>
      <c r="F100" s="132">
        <v>74435123</v>
      </c>
      <c r="G100" s="132"/>
      <c r="H100" s="64">
        <v>40129992</v>
      </c>
      <c r="I100" s="64">
        <v>57212793</v>
      </c>
      <c r="J100" s="64">
        <v>74435123</v>
      </c>
      <c r="K100" s="132"/>
      <c r="L100" s="518">
        <f t="shared" si="35"/>
        <v>0.58890295081049915</v>
      </c>
      <c r="M100" s="518">
        <f t="shared" si="36"/>
        <v>0.78474585858623547</v>
      </c>
      <c r="N100" s="518">
        <f t="shared" si="37"/>
        <v>1.0209719093351559</v>
      </c>
      <c r="O100" s="132"/>
      <c r="P100" s="64">
        <f t="shared" si="39"/>
        <v>4762499.75</v>
      </c>
      <c r="Q100" s="64">
        <f t="shared" si="40"/>
        <v>0</v>
      </c>
      <c r="R100" s="64">
        <f t="shared" si="41"/>
        <v>1528981</v>
      </c>
      <c r="S100" s="64">
        <f t="shared" si="42"/>
        <v>6291480.75</v>
      </c>
      <c r="T100" s="553">
        <f>IF('8. WAMKK'!C98=0,0,+S100/'8. WAMKK'!C98)</f>
        <v>0</v>
      </c>
      <c r="U100" s="152"/>
      <c r="V100" s="690">
        <f t="shared" si="38"/>
        <v>0</v>
      </c>
      <c r="W100" s="585"/>
    </row>
    <row r="101" spans="1:23" ht="12.75" customHeight="1" x14ac:dyDescent="0.25">
      <c r="A101" s="527" t="s">
        <v>349</v>
      </c>
      <c r="B101" s="533" t="s">
        <v>350</v>
      </c>
      <c r="C101" s="170">
        <v>5548999</v>
      </c>
      <c r="D101" s="64">
        <v>5548999</v>
      </c>
      <c r="E101" s="64">
        <v>5548999</v>
      </c>
      <c r="F101" s="64">
        <v>5548999</v>
      </c>
      <c r="G101" s="64"/>
      <c r="H101" s="64">
        <v>5548999</v>
      </c>
      <c r="I101" s="64">
        <v>5548999</v>
      </c>
      <c r="J101" s="64">
        <v>5548999</v>
      </c>
      <c r="K101" s="64"/>
      <c r="L101" s="546">
        <f t="shared" si="35"/>
        <v>1</v>
      </c>
      <c r="M101" s="546">
        <f t="shared" si="36"/>
        <v>1</v>
      </c>
      <c r="N101" s="546">
        <f t="shared" si="37"/>
        <v>1</v>
      </c>
      <c r="O101" s="64"/>
      <c r="P101" s="64">
        <f t="shared" si="39"/>
        <v>0</v>
      </c>
      <c r="Q101" s="64">
        <f t="shared" si="40"/>
        <v>0</v>
      </c>
      <c r="R101" s="64">
        <f t="shared" si="41"/>
        <v>0</v>
      </c>
      <c r="S101" s="64">
        <f t="shared" si="42"/>
        <v>0</v>
      </c>
      <c r="T101" s="553">
        <f>IF('8. WAMKK'!C99=0,0,+S101/'8. WAMKK'!C99)</f>
        <v>0</v>
      </c>
      <c r="U101" s="152"/>
      <c r="V101" s="690">
        <f t="shared" si="38"/>
        <v>0</v>
      </c>
      <c r="W101" s="494"/>
    </row>
    <row r="102" spans="1:23" ht="21.75" customHeight="1" x14ac:dyDescent="0.25">
      <c r="A102" s="147"/>
      <c r="B102" s="147" t="s">
        <v>379</v>
      </c>
      <c r="C102" s="154">
        <f>+C95+C99+C93</f>
        <v>101873641.25</v>
      </c>
      <c r="D102" s="154">
        <f>+D95+D99+D93</f>
        <v>106636141</v>
      </c>
      <c r="E102" s="154">
        <f>+E95+E99+E93</f>
        <v>106636141</v>
      </c>
      <c r="F102" s="154">
        <f>+F95+F99+F93</f>
        <v>109136141</v>
      </c>
      <c r="G102" s="154"/>
      <c r="H102" s="154">
        <f>+H95+H99+H93</f>
        <v>60622129</v>
      </c>
      <c r="I102" s="154">
        <f>+I95+I99+I93</f>
        <v>81012743</v>
      </c>
      <c r="J102" s="154">
        <f>+J95+J99+J93</f>
        <v>106393525</v>
      </c>
      <c r="K102" s="128"/>
      <c r="L102" s="514">
        <f t="shared" si="35"/>
        <v>0.59507177966901226</v>
      </c>
      <c r="M102" s="514">
        <f t="shared" si="36"/>
        <v>0.75971187854594247</v>
      </c>
      <c r="N102" s="514">
        <f t="shared" si="37"/>
        <v>0.99772482389436801</v>
      </c>
      <c r="O102" s="128"/>
      <c r="P102" s="154">
        <f t="shared" si="39"/>
        <v>4762499.75</v>
      </c>
      <c r="Q102" s="154">
        <f t="shared" si="40"/>
        <v>0</v>
      </c>
      <c r="R102" s="154">
        <f t="shared" si="41"/>
        <v>2500000</v>
      </c>
      <c r="S102" s="154">
        <f t="shared" si="42"/>
        <v>7262499.75</v>
      </c>
      <c r="T102" s="552">
        <f>IF('8. WAMKK'!C100=0,0,+S102/'8. WAMKK'!C100)</f>
        <v>0.23133994425670737</v>
      </c>
      <c r="U102" s="152"/>
      <c r="V102" s="690">
        <f t="shared" si="38"/>
        <v>0</v>
      </c>
      <c r="W102" s="494"/>
    </row>
    <row r="103" spans="1:23" ht="12.75" customHeight="1" x14ac:dyDescent="0.25">
      <c r="A103" s="537"/>
      <c r="B103" s="537"/>
      <c r="C103" s="133"/>
      <c r="D103" s="133"/>
      <c r="E103" s="133"/>
      <c r="F103" s="133"/>
      <c r="G103" s="133"/>
      <c r="H103" s="133"/>
      <c r="I103" s="133"/>
      <c r="J103" s="133"/>
      <c r="K103" s="133"/>
      <c r="L103" s="537"/>
      <c r="M103" s="537"/>
      <c r="N103" s="537"/>
      <c r="O103" s="133"/>
      <c r="P103" s="133"/>
      <c r="Q103" s="133"/>
      <c r="R103" s="133"/>
      <c r="S103" s="133"/>
      <c r="T103" s="494"/>
      <c r="U103" s="494"/>
      <c r="V103" s="494"/>
      <c r="W103" s="494"/>
    </row>
    <row r="104" spans="1:23" ht="12.75" customHeight="1" x14ac:dyDescent="0.25">
      <c r="A104" s="537"/>
      <c r="B104" s="537"/>
      <c r="C104" s="133">
        <f>+C89-C95-C101</f>
        <v>68143642.25</v>
      </c>
      <c r="D104" s="133"/>
      <c r="E104" s="133"/>
      <c r="F104" s="133"/>
      <c r="G104" s="133"/>
      <c r="H104" s="133"/>
      <c r="I104" s="133"/>
      <c r="J104" s="133"/>
      <c r="K104" s="133"/>
      <c r="L104" s="537"/>
      <c r="M104" s="537"/>
      <c r="N104" s="537"/>
      <c r="O104" s="133"/>
      <c r="P104" s="133"/>
      <c r="Q104" s="133"/>
      <c r="R104" s="133"/>
      <c r="S104" s="133"/>
      <c r="T104" s="494"/>
      <c r="U104" s="494"/>
      <c r="V104" s="494"/>
      <c r="W104" s="494"/>
    </row>
    <row r="107" spans="1:23" ht="12.75" customHeight="1" x14ac:dyDescent="0.25">
      <c r="A107" s="34"/>
      <c r="B107" s="34" t="s">
        <v>480</v>
      </c>
      <c r="C107" s="12">
        <v>57891873</v>
      </c>
      <c r="D107" s="13">
        <f>+C100-C107</f>
        <v>10251769.25</v>
      </c>
    </row>
  </sheetData>
  <mergeCells count="5">
    <mergeCell ref="C9:F9"/>
    <mergeCell ref="H9:N9"/>
    <mergeCell ref="P9:T9"/>
    <mergeCell ref="H10:J10"/>
    <mergeCell ref="L10:N10"/>
  </mergeCells>
  <phoneticPr fontId="2" type="noConversion"/>
  <printOptions horizontalCentered="1"/>
  <pageMargins left="0" right="0" top="0.59055118110236227" bottom="0" header="0.51181102362204722" footer="0.51181102362204722"/>
  <pageSetup paperSize="9" scale="54" fitToHeight="0" orientation="landscape" r:id="rId1"/>
  <headerFooter alignWithMargins="0">
    <oddHeader>&amp;R&amp;"Arial,Félkövér dőlt"&amp;A  /&amp;"Arial,Normál"
&amp;"Arial,Dőlt"&amp;8&amp;F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workbookViewId="0">
      <selection activeCell="E7" sqref="E7"/>
    </sheetView>
  </sheetViews>
  <sheetFormatPr defaultRowHeight="13.2" x14ac:dyDescent="0.25"/>
  <cols>
    <col min="1" max="1" width="8.33203125" customWidth="1"/>
    <col min="2" max="2" width="41" customWidth="1"/>
    <col min="3" max="6" width="32.6640625" customWidth="1"/>
    <col min="257" max="257" width="8.33203125" customWidth="1"/>
    <col min="258" max="258" width="41" customWidth="1"/>
    <col min="259" max="262" width="32.6640625" customWidth="1"/>
    <col min="513" max="513" width="8.33203125" customWidth="1"/>
    <col min="514" max="514" width="41" customWidth="1"/>
    <col min="515" max="518" width="32.6640625" customWidth="1"/>
    <col min="769" max="769" width="8.33203125" customWidth="1"/>
    <col min="770" max="770" width="41" customWidth="1"/>
    <col min="771" max="774" width="32.6640625" customWidth="1"/>
    <col min="1025" max="1025" width="8.33203125" customWidth="1"/>
    <col min="1026" max="1026" width="41" customWidth="1"/>
    <col min="1027" max="1030" width="32.6640625" customWidth="1"/>
    <col min="1281" max="1281" width="8.33203125" customWidth="1"/>
    <col min="1282" max="1282" width="41" customWidth="1"/>
    <col min="1283" max="1286" width="32.6640625" customWidth="1"/>
    <col min="1537" max="1537" width="8.33203125" customWidth="1"/>
    <col min="1538" max="1538" width="41" customWidth="1"/>
    <col min="1539" max="1542" width="32.6640625" customWidth="1"/>
    <col min="1793" max="1793" width="8.33203125" customWidth="1"/>
    <col min="1794" max="1794" width="41" customWidth="1"/>
    <col min="1795" max="1798" width="32.6640625" customWidth="1"/>
    <col min="2049" max="2049" width="8.33203125" customWidth="1"/>
    <col min="2050" max="2050" width="41" customWidth="1"/>
    <col min="2051" max="2054" width="32.6640625" customWidth="1"/>
    <col min="2305" max="2305" width="8.33203125" customWidth="1"/>
    <col min="2306" max="2306" width="41" customWidth="1"/>
    <col min="2307" max="2310" width="32.6640625" customWidth="1"/>
    <col min="2561" max="2561" width="8.33203125" customWidth="1"/>
    <col min="2562" max="2562" width="41" customWidth="1"/>
    <col min="2563" max="2566" width="32.6640625" customWidth="1"/>
    <col min="2817" max="2817" width="8.33203125" customWidth="1"/>
    <col min="2818" max="2818" width="41" customWidth="1"/>
    <col min="2819" max="2822" width="32.6640625" customWidth="1"/>
    <col min="3073" max="3073" width="8.33203125" customWidth="1"/>
    <col min="3074" max="3074" width="41" customWidth="1"/>
    <col min="3075" max="3078" width="32.6640625" customWidth="1"/>
    <col min="3329" max="3329" width="8.33203125" customWidth="1"/>
    <col min="3330" max="3330" width="41" customWidth="1"/>
    <col min="3331" max="3334" width="32.6640625" customWidth="1"/>
    <col min="3585" max="3585" width="8.33203125" customWidth="1"/>
    <col min="3586" max="3586" width="41" customWidth="1"/>
    <col min="3587" max="3590" width="32.6640625" customWidth="1"/>
    <col min="3841" max="3841" width="8.33203125" customWidth="1"/>
    <col min="3842" max="3842" width="41" customWidth="1"/>
    <col min="3843" max="3846" width="32.6640625" customWidth="1"/>
    <col min="4097" max="4097" width="8.33203125" customWidth="1"/>
    <col min="4098" max="4098" width="41" customWidth="1"/>
    <col min="4099" max="4102" width="32.6640625" customWidth="1"/>
    <col min="4353" max="4353" width="8.33203125" customWidth="1"/>
    <col min="4354" max="4354" width="41" customWidth="1"/>
    <col min="4355" max="4358" width="32.6640625" customWidth="1"/>
    <col min="4609" max="4609" width="8.33203125" customWidth="1"/>
    <col min="4610" max="4610" width="41" customWidth="1"/>
    <col min="4611" max="4614" width="32.6640625" customWidth="1"/>
    <col min="4865" max="4865" width="8.33203125" customWidth="1"/>
    <col min="4866" max="4866" width="41" customWidth="1"/>
    <col min="4867" max="4870" width="32.6640625" customWidth="1"/>
    <col min="5121" max="5121" width="8.33203125" customWidth="1"/>
    <col min="5122" max="5122" width="41" customWidth="1"/>
    <col min="5123" max="5126" width="32.6640625" customWidth="1"/>
    <col min="5377" max="5377" width="8.33203125" customWidth="1"/>
    <col min="5378" max="5378" width="41" customWidth="1"/>
    <col min="5379" max="5382" width="32.6640625" customWidth="1"/>
    <col min="5633" max="5633" width="8.33203125" customWidth="1"/>
    <col min="5634" max="5634" width="41" customWidth="1"/>
    <col min="5635" max="5638" width="32.6640625" customWidth="1"/>
    <col min="5889" max="5889" width="8.33203125" customWidth="1"/>
    <col min="5890" max="5890" width="41" customWidth="1"/>
    <col min="5891" max="5894" width="32.6640625" customWidth="1"/>
    <col min="6145" max="6145" width="8.33203125" customWidth="1"/>
    <col min="6146" max="6146" width="41" customWidth="1"/>
    <col min="6147" max="6150" width="32.6640625" customWidth="1"/>
    <col min="6401" max="6401" width="8.33203125" customWidth="1"/>
    <col min="6402" max="6402" width="41" customWidth="1"/>
    <col min="6403" max="6406" width="32.6640625" customWidth="1"/>
    <col min="6657" max="6657" width="8.33203125" customWidth="1"/>
    <col min="6658" max="6658" width="41" customWidth="1"/>
    <col min="6659" max="6662" width="32.6640625" customWidth="1"/>
    <col min="6913" max="6913" width="8.33203125" customWidth="1"/>
    <col min="6914" max="6914" width="41" customWidth="1"/>
    <col min="6915" max="6918" width="32.6640625" customWidth="1"/>
    <col min="7169" max="7169" width="8.33203125" customWidth="1"/>
    <col min="7170" max="7170" width="41" customWidth="1"/>
    <col min="7171" max="7174" width="32.6640625" customWidth="1"/>
    <col min="7425" max="7425" width="8.33203125" customWidth="1"/>
    <col min="7426" max="7426" width="41" customWidth="1"/>
    <col min="7427" max="7430" width="32.6640625" customWidth="1"/>
    <col min="7681" max="7681" width="8.33203125" customWidth="1"/>
    <col min="7682" max="7682" width="41" customWidth="1"/>
    <col min="7683" max="7686" width="32.6640625" customWidth="1"/>
    <col min="7937" max="7937" width="8.33203125" customWidth="1"/>
    <col min="7938" max="7938" width="41" customWidth="1"/>
    <col min="7939" max="7942" width="32.6640625" customWidth="1"/>
    <col min="8193" max="8193" width="8.33203125" customWidth="1"/>
    <col min="8194" max="8194" width="41" customWidth="1"/>
    <col min="8195" max="8198" width="32.6640625" customWidth="1"/>
    <col min="8449" max="8449" width="8.33203125" customWidth="1"/>
    <col min="8450" max="8450" width="41" customWidth="1"/>
    <col min="8451" max="8454" width="32.6640625" customWidth="1"/>
    <col min="8705" max="8705" width="8.33203125" customWidth="1"/>
    <col min="8706" max="8706" width="41" customWidth="1"/>
    <col min="8707" max="8710" width="32.6640625" customWidth="1"/>
    <col min="8961" max="8961" width="8.33203125" customWidth="1"/>
    <col min="8962" max="8962" width="41" customWidth="1"/>
    <col min="8963" max="8966" width="32.6640625" customWidth="1"/>
    <col min="9217" max="9217" width="8.33203125" customWidth="1"/>
    <col min="9218" max="9218" width="41" customWidth="1"/>
    <col min="9219" max="9222" width="32.6640625" customWidth="1"/>
    <col min="9473" max="9473" width="8.33203125" customWidth="1"/>
    <col min="9474" max="9474" width="41" customWidth="1"/>
    <col min="9475" max="9478" width="32.6640625" customWidth="1"/>
    <col min="9729" max="9729" width="8.33203125" customWidth="1"/>
    <col min="9730" max="9730" width="41" customWidth="1"/>
    <col min="9731" max="9734" width="32.6640625" customWidth="1"/>
    <col min="9985" max="9985" width="8.33203125" customWidth="1"/>
    <col min="9986" max="9986" width="41" customWidth="1"/>
    <col min="9987" max="9990" width="32.6640625" customWidth="1"/>
    <col min="10241" max="10241" width="8.33203125" customWidth="1"/>
    <col min="10242" max="10242" width="41" customWidth="1"/>
    <col min="10243" max="10246" width="32.6640625" customWidth="1"/>
    <col min="10497" max="10497" width="8.33203125" customWidth="1"/>
    <col min="10498" max="10498" width="41" customWidth="1"/>
    <col min="10499" max="10502" width="32.6640625" customWidth="1"/>
    <col min="10753" max="10753" width="8.33203125" customWidth="1"/>
    <col min="10754" max="10754" width="41" customWidth="1"/>
    <col min="10755" max="10758" width="32.6640625" customWidth="1"/>
    <col min="11009" max="11009" width="8.33203125" customWidth="1"/>
    <col min="11010" max="11010" width="41" customWidth="1"/>
    <col min="11011" max="11014" width="32.6640625" customWidth="1"/>
    <col min="11265" max="11265" width="8.33203125" customWidth="1"/>
    <col min="11266" max="11266" width="41" customWidth="1"/>
    <col min="11267" max="11270" width="32.6640625" customWidth="1"/>
    <col min="11521" max="11521" width="8.33203125" customWidth="1"/>
    <col min="11522" max="11522" width="41" customWidth="1"/>
    <col min="11523" max="11526" width="32.6640625" customWidth="1"/>
    <col min="11777" max="11777" width="8.33203125" customWidth="1"/>
    <col min="11778" max="11778" width="41" customWidth="1"/>
    <col min="11779" max="11782" width="32.6640625" customWidth="1"/>
    <col min="12033" max="12033" width="8.33203125" customWidth="1"/>
    <col min="12034" max="12034" width="41" customWidth="1"/>
    <col min="12035" max="12038" width="32.6640625" customWidth="1"/>
    <col min="12289" max="12289" width="8.33203125" customWidth="1"/>
    <col min="12290" max="12290" width="41" customWidth="1"/>
    <col min="12291" max="12294" width="32.6640625" customWidth="1"/>
    <col min="12545" max="12545" width="8.33203125" customWidth="1"/>
    <col min="12546" max="12546" width="41" customWidth="1"/>
    <col min="12547" max="12550" width="32.6640625" customWidth="1"/>
    <col min="12801" max="12801" width="8.33203125" customWidth="1"/>
    <col min="12802" max="12802" width="41" customWidth="1"/>
    <col min="12803" max="12806" width="32.6640625" customWidth="1"/>
    <col min="13057" max="13057" width="8.33203125" customWidth="1"/>
    <col min="13058" max="13058" width="41" customWidth="1"/>
    <col min="13059" max="13062" width="32.6640625" customWidth="1"/>
    <col min="13313" max="13313" width="8.33203125" customWidth="1"/>
    <col min="13314" max="13314" width="41" customWidth="1"/>
    <col min="13315" max="13318" width="32.6640625" customWidth="1"/>
    <col min="13569" max="13569" width="8.33203125" customWidth="1"/>
    <col min="13570" max="13570" width="41" customWidth="1"/>
    <col min="13571" max="13574" width="32.6640625" customWidth="1"/>
    <col min="13825" max="13825" width="8.33203125" customWidth="1"/>
    <col min="13826" max="13826" width="41" customWidth="1"/>
    <col min="13827" max="13830" width="32.6640625" customWidth="1"/>
    <col min="14081" max="14081" width="8.33203125" customWidth="1"/>
    <col min="14082" max="14082" width="41" customWidth="1"/>
    <col min="14083" max="14086" width="32.6640625" customWidth="1"/>
    <col min="14337" max="14337" width="8.33203125" customWidth="1"/>
    <col min="14338" max="14338" width="41" customWidth="1"/>
    <col min="14339" max="14342" width="32.6640625" customWidth="1"/>
    <col min="14593" max="14593" width="8.33203125" customWidth="1"/>
    <col min="14594" max="14594" width="41" customWidth="1"/>
    <col min="14595" max="14598" width="32.6640625" customWidth="1"/>
    <col min="14849" max="14849" width="8.33203125" customWidth="1"/>
    <col min="14850" max="14850" width="41" customWidth="1"/>
    <col min="14851" max="14854" width="32.6640625" customWidth="1"/>
    <col min="15105" max="15105" width="8.33203125" customWidth="1"/>
    <col min="15106" max="15106" width="41" customWidth="1"/>
    <col min="15107" max="15110" width="32.6640625" customWidth="1"/>
    <col min="15361" max="15361" width="8.33203125" customWidth="1"/>
    <col min="15362" max="15362" width="41" customWidth="1"/>
    <col min="15363" max="15366" width="32.6640625" customWidth="1"/>
    <col min="15617" max="15617" width="8.33203125" customWidth="1"/>
    <col min="15618" max="15618" width="41" customWidth="1"/>
    <col min="15619" max="15622" width="32.6640625" customWidth="1"/>
    <col min="15873" max="15873" width="8.33203125" customWidth="1"/>
    <col min="15874" max="15874" width="41" customWidth="1"/>
    <col min="15875" max="15878" width="32.6640625" customWidth="1"/>
    <col min="16129" max="16129" width="8.33203125" customWidth="1"/>
    <col min="16130" max="16130" width="41" customWidth="1"/>
    <col min="16131" max="16134" width="32.6640625" customWidth="1"/>
  </cols>
  <sheetData>
    <row r="1" spans="1:6" ht="30" customHeight="1" x14ac:dyDescent="0.25">
      <c r="A1" s="1126" t="s">
        <v>1409</v>
      </c>
      <c r="B1" s="1127"/>
      <c r="C1" s="1127"/>
      <c r="D1" s="1127"/>
      <c r="E1" s="1127"/>
      <c r="F1" s="1128"/>
    </row>
    <row r="2" spans="1:6" ht="60" x14ac:dyDescent="0.25">
      <c r="A2" s="191"/>
      <c r="B2" s="205" t="s">
        <v>373</v>
      </c>
      <c r="C2" s="205" t="s">
        <v>518</v>
      </c>
      <c r="D2" s="205" t="s">
        <v>519</v>
      </c>
      <c r="E2" s="205" t="s">
        <v>520</v>
      </c>
      <c r="F2" s="206" t="s">
        <v>521</v>
      </c>
    </row>
    <row r="3" spans="1:6" ht="15.6" thickBot="1" x14ac:dyDescent="0.3">
      <c r="A3" s="202">
        <v>1</v>
      </c>
      <c r="B3" s="203">
        <v>2</v>
      </c>
      <c r="C3" s="203">
        <v>3</v>
      </c>
      <c r="D3" s="203">
        <v>4</v>
      </c>
      <c r="E3" s="203">
        <v>5</v>
      </c>
      <c r="F3" s="204">
        <v>6</v>
      </c>
    </row>
    <row r="4" spans="1:6" ht="26.4" x14ac:dyDescent="0.25">
      <c r="A4" s="198" t="s">
        <v>522</v>
      </c>
      <c r="B4" s="199" t="s">
        <v>523</v>
      </c>
      <c r="C4" s="200">
        <v>120780</v>
      </c>
      <c r="D4" s="200">
        <v>120780</v>
      </c>
      <c r="E4" s="200">
        <v>0</v>
      </c>
      <c r="F4" s="201">
        <v>0</v>
      </c>
    </row>
    <row r="5" spans="1:6" ht="26.4" x14ac:dyDescent="0.25">
      <c r="A5" s="192" t="s">
        <v>524</v>
      </c>
      <c r="B5" s="181" t="s">
        <v>525</v>
      </c>
      <c r="C5" s="182">
        <v>1756400</v>
      </c>
      <c r="D5" s="182">
        <v>1756400</v>
      </c>
      <c r="E5" s="182">
        <v>0</v>
      </c>
      <c r="F5" s="193">
        <v>0</v>
      </c>
    </row>
    <row r="6" spans="1:6" ht="26.4" x14ac:dyDescent="0.25">
      <c r="A6" s="192" t="s">
        <v>526</v>
      </c>
      <c r="B6" s="181" t="s">
        <v>527</v>
      </c>
      <c r="C6" s="182">
        <v>4701936</v>
      </c>
      <c r="D6" s="182">
        <v>4701936</v>
      </c>
      <c r="E6" s="182">
        <v>0</v>
      </c>
      <c r="F6" s="193">
        <v>0</v>
      </c>
    </row>
    <row r="7" spans="1:6" ht="26.4" x14ac:dyDescent="0.25">
      <c r="A7" s="192" t="s">
        <v>528</v>
      </c>
      <c r="B7" s="181" t="s">
        <v>529</v>
      </c>
      <c r="C7" s="182">
        <v>53188000</v>
      </c>
      <c r="D7" s="182">
        <v>53188000</v>
      </c>
      <c r="E7" s="182">
        <v>0</v>
      </c>
      <c r="F7" s="193">
        <v>0</v>
      </c>
    </row>
    <row r="8" spans="1:6" ht="26.4" x14ac:dyDescent="0.25">
      <c r="A8" s="192" t="s">
        <v>530</v>
      </c>
      <c r="B8" s="181" t="s">
        <v>531</v>
      </c>
      <c r="C8" s="182">
        <v>0</v>
      </c>
      <c r="D8" s="182">
        <v>0</v>
      </c>
      <c r="E8" s="182">
        <v>0</v>
      </c>
      <c r="F8" s="193">
        <v>0</v>
      </c>
    </row>
    <row r="9" spans="1:6" ht="26.4" x14ac:dyDescent="0.25">
      <c r="A9" s="192" t="s">
        <v>532</v>
      </c>
      <c r="B9" s="181" t="s">
        <v>533</v>
      </c>
      <c r="C9" s="182">
        <v>0</v>
      </c>
      <c r="D9" s="182">
        <v>0</v>
      </c>
      <c r="E9" s="182">
        <v>0</v>
      </c>
      <c r="F9" s="193">
        <v>0</v>
      </c>
    </row>
    <row r="10" spans="1:6" ht="39.6" x14ac:dyDescent="0.25">
      <c r="A10" s="192" t="s">
        <v>534</v>
      </c>
      <c r="B10" s="181" t="s">
        <v>535</v>
      </c>
      <c r="C10" s="182">
        <v>0</v>
      </c>
      <c r="D10" s="182">
        <v>0</v>
      </c>
      <c r="E10" s="182">
        <v>0</v>
      </c>
      <c r="F10" s="193">
        <v>0</v>
      </c>
    </row>
    <row r="11" spans="1:6" ht="39.6" x14ac:dyDescent="0.25">
      <c r="A11" s="192" t="s">
        <v>536</v>
      </c>
      <c r="B11" s="181" t="s">
        <v>537</v>
      </c>
      <c r="C11" s="182">
        <v>10078090</v>
      </c>
      <c r="D11" s="182">
        <v>10078090</v>
      </c>
      <c r="E11" s="182">
        <v>0</v>
      </c>
      <c r="F11" s="193">
        <v>0</v>
      </c>
    </row>
    <row r="12" spans="1:6" ht="26.4" x14ac:dyDescent="0.25">
      <c r="A12" s="192" t="s">
        <v>538</v>
      </c>
      <c r="B12" s="181" t="s">
        <v>539</v>
      </c>
      <c r="C12" s="182">
        <v>0</v>
      </c>
      <c r="D12" s="182">
        <v>0</v>
      </c>
      <c r="E12" s="182">
        <v>0</v>
      </c>
      <c r="F12" s="193">
        <v>0</v>
      </c>
    </row>
    <row r="13" spans="1:6" ht="39.6" x14ac:dyDescent="0.25">
      <c r="A13" s="192" t="s">
        <v>540</v>
      </c>
      <c r="B13" s="181" t="s">
        <v>541</v>
      </c>
      <c r="C13" s="182">
        <v>0</v>
      </c>
      <c r="D13" s="182">
        <v>0</v>
      </c>
      <c r="E13" s="182">
        <v>0</v>
      </c>
      <c r="F13" s="193">
        <v>0</v>
      </c>
    </row>
    <row r="14" spans="1:6" ht="39.6" x14ac:dyDescent="0.25">
      <c r="A14" s="192" t="s">
        <v>542</v>
      </c>
      <c r="B14" s="181" t="s">
        <v>543</v>
      </c>
      <c r="C14" s="182">
        <v>0</v>
      </c>
      <c r="D14" s="182">
        <v>0</v>
      </c>
      <c r="E14" s="182">
        <v>0</v>
      </c>
      <c r="F14" s="193">
        <v>0</v>
      </c>
    </row>
    <row r="15" spans="1:6" ht="39.6" x14ac:dyDescent="0.25">
      <c r="A15" s="192" t="s">
        <v>544</v>
      </c>
      <c r="B15" s="181" t="s">
        <v>545</v>
      </c>
      <c r="C15" s="182">
        <v>0</v>
      </c>
      <c r="D15" s="182">
        <v>0</v>
      </c>
      <c r="E15" s="182">
        <v>0</v>
      </c>
      <c r="F15" s="193">
        <v>0</v>
      </c>
    </row>
    <row r="16" spans="1:6" ht="26.4" x14ac:dyDescent="0.25">
      <c r="A16" s="192" t="s">
        <v>546</v>
      </c>
      <c r="B16" s="181" t="s">
        <v>547</v>
      </c>
      <c r="C16" s="182">
        <v>0</v>
      </c>
      <c r="D16" s="182">
        <v>0</v>
      </c>
      <c r="E16" s="182">
        <v>0</v>
      </c>
      <c r="F16" s="193">
        <v>0</v>
      </c>
    </row>
    <row r="17" spans="1:6" ht="26.4" x14ac:dyDescent="0.25">
      <c r="A17" s="194" t="s">
        <v>548</v>
      </c>
      <c r="B17" s="183" t="s">
        <v>549</v>
      </c>
      <c r="C17" s="184">
        <v>10078090</v>
      </c>
      <c r="D17" s="184">
        <v>10078090</v>
      </c>
      <c r="E17" s="184">
        <v>0</v>
      </c>
      <c r="F17" s="195">
        <v>0</v>
      </c>
    </row>
    <row r="18" spans="1:6" ht="26.4" x14ac:dyDescent="0.25">
      <c r="A18" s="192" t="s">
        <v>550</v>
      </c>
      <c r="B18" s="181" t="s">
        <v>551</v>
      </c>
      <c r="C18" s="182">
        <v>0</v>
      </c>
      <c r="D18" s="182">
        <v>0</v>
      </c>
      <c r="E18" s="182">
        <v>0</v>
      </c>
      <c r="F18" s="193">
        <v>0</v>
      </c>
    </row>
    <row r="19" spans="1:6" ht="26.4" x14ac:dyDescent="0.25">
      <c r="A19" s="192" t="s">
        <v>552</v>
      </c>
      <c r="B19" s="181" t="s">
        <v>553</v>
      </c>
      <c r="C19" s="182">
        <v>0</v>
      </c>
      <c r="D19" s="182">
        <v>0</v>
      </c>
      <c r="E19" s="182">
        <v>0</v>
      </c>
      <c r="F19" s="193">
        <v>0</v>
      </c>
    </row>
    <row r="20" spans="1:6" ht="26.4" x14ac:dyDescent="0.25">
      <c r="A20" s="192" t="s">
        <v>554</v>
      </c>
      <c r="B20" s="181" t="s">
        <v>555</v>
      </c>
      <c r="C20" s="182">
        <v>0</v>
      </c>
      <c r="D20" s="182">
        <v>0</v>
      </c>
      <c r="E20" s="182">
        <v>0</v>
      </c>
      <c r="F20" s="193">
        <v>0</v>
      </c>
    </row>
    <row r="21" spans="1:6" ht="39.6" x14ac:dyDescent="0.25">
      <c r="A21" s="194" t="s">
        <v>556</v>
      </c>
      <c r="B21" s="183" t="s">
        <v>557</v>
      </c>
      <c r="C21" s="184">
        <v>0</v>
      </c>
      <c r="D21" s="184">
        <v>0</v>
      </c>
      <c r="E21" s="184">
        <v>0</v>
      </c>
      <c r="F21" s="195">
        <v>0</v>
      </c>
    </row>
    <row r="22" spans="1:6" x14ac:dyDescent="0.25">
      <c r="A22" s="192" t="s">
        <v>558</v>
      </c>
      <c r="B22" s="181" t="s">
        <v>559</v>
      </c>
      <c r="C22" s="182">
        <v>1224914</v>
      </c>
      <c r="D22" s="182">
        <v>1224914</v>
      </c>
      <c r="E22" s="182">
        <v>0</v>
      </c>
      <c r="F22" s="193">
        <v>0</v>
      </c>
    </row>
    <row r="23" spans="1:6" ht="26.4" x14ac:dyDescent="0.25">
      <c r="A23" s="192" t="s">
        <v>560</v>
      </c>
      <c r="B23" s="181" t="s">
        <v>561</v>
      </c>
      <c r="C23" s="182">
        <v>0</v>
      </c>
      <c r="D23" s="182">
        <v>0</v>
      </c>
      <c r="E23" s="182">
        <v>0</v>
      </c>
      <c r="F23" s="193">
        <v>0</v>
      </c>
    </row>
    <row r="24" spans="1:6" ht="39.6" x14ac:dyDescent="0.25">
      <c r="A24" s="192" t="s">
        <v>562</v>
      </c>
      <c r="B24" s="181" t="s">
        <v>563</v>
      </c>
      <c r="C24" s="182">
        <v>0</v>
      </c>
      <c r="D24" s="182">
        <v>0</v>
      </c>
      <c r="E24" s="182">
        <v>0</v>
      </c>
      <c r="F24" s="193">
        <v>0</v>
      </c>
    </row>
    <row r="25" spans="1:6" ht="39.6" x14ac:dyDescent="0.25">
      <c r="A25" s="192" t="s">
        <v>564</v>
      </c>
      <c r="B25" s="181" t="s">
        <v>565</v>
      </c>
      <c r="C25" s="182">
        <v>0</v>
      </c>
      <c r="D25" s="182">
        <v>0</v>
      </c>
      <c r="E25" s="182">
        <v>0</v>
      </c>
      <c r="F25" s="193">
        <v>0</v>
      </c>
    </row>
    <row r="26" spans="1:6" ht="26.4" x14ac:dyDescent="0.25">
      <c r="A26" s="192" t="s">
        <v>566</v>
      </c>
      <c r="B26" s="181" t="s">
        <v>567</v>
      </c>
      <c r="C26" s="182">
        <v>0</v>
      </c>
      <c r="D26" s="182">
        <v>0</v>
      </c>
      <c r="E26" s="182">
        <v>0</v>
      </c>
      <c r="F26" s="193">
        <v>0</v>
      </c>
    </row>
    <row r="27" spans="1:6" ht="26.4" x14ac:dyDescent="0.25">
      <c r="A27" s="192" t="s">
        <v>568</v>
      </c>
      <c r="B27" s="181" t="s">
        <v>569</v>
      </c>
      <c r="C27" s="182">
        <v>0</v>
      </c>
      <c r="D27" s="182">
        <v>0</v>
      </c>
      <c r="E27" s="182">
        <v>0</v>
      </c>
      <c r="F27" s="193">
        <v>0</v>
      </c>
    </row>
    <row r="28" spans="1:6" ht="26.4" x14ac:dyDescent="0.25">
      <c r="A28" s="192" t="s">
        <v>570</v>
      </c>
      <c r="B28" s="181" t="s">
        <v>571</v>
      </c>
      <c r="C28" s="182">
        <v>0</v>
      </c>
      <c r="D28" s="182">
        <v>0</v>
      </c>
      <c r="E28" s="182">
        <v>0</v>
      </c>
      <c r="F28" s="193">
        <v>0</v>
      </c>
    </row>
    <row r="29" spans="1:6" ht="26.4" x14ac:dyDescent="0.25">
      <c r="A29" s="192" t="s">
        <v>572</v>
      </c>
      <c r="B29" s="181" t="s">
        <v>573</v>
      </c>
      <c r="C29" s="182">
        <v>0</v>
      </c>
      <c r="D29" s="182">
        <v>0</v>
      </c>
      <c r="E29" s="182">
        <v>0</v>
      </c>
      <c r="F29" s="193">
        <v>0</v>
      </c>
    </row>
    <row r="30" spans="1:6" ht="52.8" x14ac:dyDescent="0.25">
      <c r="A30" s="192" t="s">
        <v>574</v>
      </c>
      <c r="B30" s="181" t="s">
        <v>575</v>
      </c>
      <c r="C30" s="182">
        <v>0</v>
      </c>
      <c r="D30" s="182">
        <v>0</v>
      </c>
      <c r="E30" s="182">
        <v>0</v>
      </c>
      <c r="F30" s="193">
        <v>0</v>
      </c>
    </row>
    <row r="31" spans="1:6" ht="39.6" x14ac:dyDescent="0.25">
      <c r="A31" s="192" t="s">
        <v>576</v>
      </c>
      <c r="B31" s="181" t="s">
        <v>577</v>
      </c>
      <c r="C31" s="182">
        <v>0</v>
      </c>
      <c r="D31" s="182">
        <v>0</v>
      </c>
      <c r="E31" s="182">
        <v>0</v>
      </c>
      <c r="F31" s="193">
        <v>0</v>
      </c>
    </row>
    <row r="32" spans="1:6" ht="26.4" x14ac:dyDescent="0.25">
      <c r="A32" s="192" t="s">
        <v>578</v>
      </c>
      <c r="B32" s="181" t="s">
        <v>579</v>
      </c>
      <c r="C32" s="182">
        <v>0</v>
      </c>
      <c r="D32" s="182">
        <v>0</v>
      </c>
      <c r="E32" s="182">
        <v>0</v>
      </c>
      <c r="F32" s="193">
        <v>0</v>
      </c>
    </row>
    <row r="33" spans="1:6" ht="66" x14ac:dyDescent="0.25">
      <c r="A33" s="192" t="s">
        <v>580</v>
      </c>
      <c r="B33" s="181" t="s">
        <v>581</v>
      </c>
      <c r="C33" s="182">
        <v>0</v>
      </c>
      <c r="D33" s="182">
        <v>0</v>
      </c>
      <c r="E33" s="182">
        <v>0</v>
      </c>
      <c r="F33" s="193">
        <v>0</v>
      </c>
    </row>
    <row r="34" spans="1:6" ht="52.8" x14ac:dyDescent="0.25">
      <c r="A34" s="192" t="s">
        <v>582</v>
      </c>
      <c r="B34" s="181" t="s">
        <v>583</v>
      </c>
      <c r="C34" s="182">
        <v>0</v>
      </c>
      <c r="D34" s="182">
        <v>0</v>
      </c>
      <c r="E34" s="182">
        <v>0</v>
      </c>
      <c r="F34" s="193">
        <v>0</v>
      </c>
    </row>
    <row r="35" spans="1:6" ht="39.6" x14ac:dyDescent="0.25">
      <c r="A35" s="192" t="s">
        <v>584</v>
      </c>
      <c r="B35" s="181" t="s">
        <v>585</v>
      </c>
      <c r="C35" s="182">
        <v>0</v>
      </c>
      <c r="D35" s="182">
        <v>0</v>
      </c>
      <c r="E35" s="182">
        <v>0</v>
      </c>
      <c r="F35" s="193">
        <v>0</v>
      </c>
    </row>
    <row r="36" spans="1:6" ht="26.4" x14ac:dyDescent="0.25">
      <c r="A36" s="192" t="s">
        <v>586</v>
      </c>
      <c r="B36" s="181" t="s">
        <v>587</v>
      </c>
      <c r="C36" s="182">
        <v>0</v>
      </c>
      <c r="D36" s="182">
        <v>0</v>
      </c>
      <c r="E36" s="182">
        <v>0</v>
      </c>
      <c r="F36" s="193">
        <v>0</v>
      </c>
    </row>
    <row r="37" spans="1:6" ht="26.4" x14ac:dyDescent="0.25">
      <c r="A37" s="192" t="s">
        <v>588</v>
      </c>
      <c r="B37" s="181" t="s">
        <v>589</v>
      </c>
      <c r="C37" s="182">
        <v>0</v>
      </c>
      <c r="D37" s="182">
        <v>0</v>
      </c>
      <c r="E37" s="182">
        <v>0</v>
      </c>
      <c r="F37" s="193">
        <v>0</v>
      </c>
    </row>
    <row r="38" spans="1:6" x14ac:dyDescent="0.25">
      <c r="A38" s="192" t="s">
        <v>590</v>
      </c>
      <c r="B38" s="181" t="s">
        <v>591</v>
      </c>
      <c r="C38" s="182">
        <v>0</v>
      </c>
      <c r="D38" s="182">
        <v>0</v>
      </c>
      <c r="E38" s="182">
        <v>0</v>
      </c>
      <c r="F38" s="193">
        <v>0</v>
      </c>
    </row>
    <row r="39" spans="1:6" ht="39.6" x14ac:dyDescent="0.25">
      <c r="A39" s="194" t="s">
        <v>592</v>
      </c>
      <c r="B39" s="183" t="s">
        <v>593</v>
      </c>
      <c r="C39" s="184">
        <v>0</v>
      </c>
      <c r="D39" s="184">
        <v>0</v>
      </c>
      <c r="E39" s="184">
        <v>0</v>
      </c>
      <c r="F39" s="195">
        <v>0</v>
      </c>
    </row>
    <row r="40" spans="1:6" ht="26.4" x14ac:dyDescent="0.25">
      <c r="A40" s="192" t="s">
        <v>594</v>
      </c>
      <c r="B40" s="181" t="s">
        <v>595</v>
      </c>
      <c r="C40" s="182">
        <v>0</v>
      </c>
      <c r="D40" s="182">
        <v>0</v>
      </c>
      <c r="E40" s="182">
        <v>0</v>
      </c>
      <c r="F40" s="193">
        <v>0</v>
      </c>
    </row>
    <row r="41" spans="1:6" ht="39.6" x14ac:dyDescent="0.25">
      <c r="A41" s="192" t="s">
        <v>596</v>
      </c>
      <c r="B41" s="181" t="s">
        <v>597</v>
      </c>
      <c r="C41" s="182">
        <v>0</v>
      </c>
      <c r="D41" s="182">
        <v>0</v>
      </c>
      <c r="E41" s="182">
        <v>0</v>
      </c>
      <c r="F41" s="193">
        <v>0</v>
      </c>
    </row>
    <row r="42" spans="1:6" ht="26.4" x14ac:dyDescent="0.25">
      <c r="A42" s="192" t="s">
        <v>598</v>
      </c>
      <c r="B42" s="181" t="s">
        <v>599</v>
      </c>
      <c r="C42" s="182">
        <v>0</v>
      </c>
      <c r="D42" s="182">
        <v>0</v>
      </c>
      <c r="E42" s="182">
        <v>0</v>
      </c>
      <c r="F42" s="193">
        <v>0</v>
      </c>
    </row>
    <row r="43" spans="1:6" ht="26.4" x14ac:dyDescent="0.25">
      <c r="A43" s="192" t="s">
        <v>600</v>
      </c>
      <c r="B43" s="181" t="s">
        <v>601</v>
      </c>
      <c r="C43" s="182">
        <v>0</v>
      </c>
      <c r="D43" s="182">
        <v>0</v>
      </c>
      <c r="E43" s="182">
        <v>0</v>
      </c>
      <c r="F43" s="193">
        <v>0</v>
      </c>
    </row>
    <row r="44" spans="1:6" ht="26.4" x14ac:dyDescent="0.25">
      <c r="A44" s="192" t="s">
        <v>602</v>
      </c>
      <c r="B44" s="181" t="s">
        <v>603</v>
      </c>
      <c r="C44" s="182">
        <v>0</v>
      </c>
      <c r="D44" s="182">
        <v>0</v>
      </c>
      <c r="E44" s="182">
        <v>0</v>
      </c>
      <c r="F44" s="193">
        <v>0</v>
      </c>
    </row>
    <row r="45" spans="1:6" ht="26.4" x14ac:dyDescent="0.25">
      <c r="A45" s="192" t="s">
        <v>604</v>
      </c>
      <c r="B45" s="181" t="s">
        <v>605</v>
      </c>
      <c r="C45" s="182">
        <v>2520000</v>
      </c>
      <c r="D45" s="182">
        <v>0</v>
      </c>
      <c r="E45" s="182">
        <v>2520000</v>
      </c>
      <c r="F45" s="193">
        <v>0</v>
      </c>
    </row>
    <row r="46" spans="1:6" ht="26.4" x14ac:dyDescent="0.25">
      <c r="A46" s="192" t="s">
        <v>606</v>
      </c>
      <c r="B46" s="181" t="s">
        <v>607</v>
      </c>
      <c r="C46" s="182">
        <v>0</v>
      </c>
      <c r="D46" s="182">
        <v>0</v>
      </c>
      <c r="E46" s="182">
        <v>0</v>
      </c>
      <c r="F46" s="193">
        <v>0</v>
      </c>
    </row>
    <row r="47" spans="1:6" ht="39.6" x14ac:dyDescent="0.25">
      <c r="A47" s="192" t="s">
        <v>608</v>
      </c>
      <c r="B47" s="181" t="s">
        <v>609</v>
      </c>
      <c r="C47" s="182">
        <v>1800000</v>
      </c>
      <c r="D47" s="182">
        <v>0</v>
      </c>
      <c r="E47" s="182">
        <v>1800000</v>
      </c>
      <c r="F47" s="193">
        <v>0</v>
      </c>
    </row>
    <row r="48" spans="1:6" ht="39.6" x14ac:dyDescent="0.25">
      <c r="A48" s="192" t="s">
        <v>610</v>
      </c>
      <c r="B48" s="181" t="s">
        <v>611</v>
      </c>
      <c r="C48" s="182">
        <v>0</v>
      </c>
      <c r="D48" s="182">
        <v>0</v>
      </c>
      <c r="E48" s="182">
        <v>0</v>
      </c>
      <c r="F48" s="193">
        <v>0</v>
      </c>
    </row>
    <row r="49" spans="1:6" ht="26.4" x14ac:dyDescent="0.25">
      <c r="A49" s="192" t="s">
        <v>612</v>
      </c>
      <c r="B49" s="181" t="s">
        <v>613</v>
      </c>
      <c r="C49" s="182">
        <v>0</v>
      </c>
      <c r="D49" s="182">
        <v>0</v>
      </c>
      <c r="E49" s="182">
        <v>0</v>
      </c>
      <c r="F49" s="193">
        <v>0</v>
      </c>
    </row>
    <row r="50" spans="1:6" ht="26.4" x14ac:dyDescent="0.25">
      <c r="A50" s="192" t="s">
        <v>614</v>
      </c>
      <c r="B50" s="181" t="s">
        <v>615</v>
      </c>
      <c r="C50" s="182">
        <v>0</v>
      </c>
      <c r="D50" s="182">
        <v>0</v>
      </c>
      <c r="E50" s="182">
        <v>0</v>
      </c>
      <c r="F50" s="193">
        <v>0</v>
      </c>
    </row>
    <row r="51" spans="1:6" ht="52.8" x14ac:dyDescent="0.25">
      <c r="A51" s="192" t="s">
        <v>616</v>
      </c>
      <c r="B51" s="181" t="s">
        <v>617</v>
      </c>
      <c r="C51" s="182">
        <v>0</v>
      </c>
      <c r="D51" s="182">
        <v>0</v>
      </c>
      <c r="E51" s="182">
        <v>0</v>
      </c>
      <c r="F51" s="193">
        <v>0</v>
      </c>
    </row>
    <row r="52" spans="1:6" ht="26.4" x14ac:dyDescent="0.25">
      <c r="A52" s="192" t="s">
        <v>618</v>
      </c>
      <c r="B52" s="181" t="s">
        <v>619</v>
      </c>
      <c r="C52" s="182">
        <v>0</v>
      </c>
      <c r="D52" s="182">
        <v>0</v>
      </c>
      <c r="E52" s="182">
        <v>0</v>
      </c>
      <c r="F52" s="193">
        <v>0</v>
      </c>
    </row>
    <row r="53" spans="1:6" ht="39.6" x14ac:dyDescent="0.25">
      <c r="A53" s="192" t="s">
        <v>620</v>
      </c>
      <c r="B53" s="181" t="s">
        <v>621</v>
      </c>
      <c r="C53" s="182">
        <v>0</v>
      </c>
      <c r="D53" s="182">
        <v>0</v>
      </c>
      <c r="E53" s="182">
        <v>0</v>
      </c>
      <c r="F53" s="193">
        <v>0</v>
      </c>
    </row>
    <row r="54" spans="1:6" ht="66" x14ac:dyDescent="0.25">
      <c r="A54" s="192" t="s">
        <v>622</v>
      </c>
      <c r="B54" s="181" t="s">
        <v>623</v>
      </c>
      <c r="C54" s="182">
        <v>0</v>
      </c>
      <c r="D54" s="182">
        <v>0</v>
      </c>
      <c r="E54" s="182">
        <v>0</v>
      </c>
      <c r="F54" s="193">
        <v>0</v>
      </c>
    </row>
    <row r="55" spans="1:6" ht="39.6" x14ac:dyDescent="0.25">
      <c r="A55" s="194" t="s">
        <v>624</v>
      </c>
      <c r="B55" s="183" t="s">
        <v>625</v>
      </c>
      <c r="C55" s="184">
        <v>4320000</v>
      </c>
      <c r="D55" s="184">
        <v>0</v>
      </c>
      <c r="E55" s="184">
        <v>4320000</v>
      </c>
      <c r="F55" s="195">
        <v>0</v>
      </c>
    </row>
    <row r="56" spans="1:6" ht="26.4" x14ac:dyDescent="0.25">
      <c r="A56" s="192" t="s">
        <v>626</v>
      </c>
      <c r="B56" s="181" t="s">
        <v>627</v>
      </c>
      <c r="C56" s="182">
        <v>0</v>
      </c>
      <c r="D56" s="182">
        <v>0</v>
      </c>
      <c r="E56" s="182">
        <v>0</v>
      </c>
      <c r="F56" s="193">
        <v>0</v>
      </c>
    </row>
    <row r="57" spans="1:6" ht="26.4" x14ac:dyDescent="0.25">
      <c r="A57" s="192" t="s">
        <v>628</v>
      </c>
      <c r="B57" s="181" t="s">
        <v>629</v>
      </c>
      <c r="C57" s="182">
        <v>0</v>
      </c>
      <c r="D57" s="182">
        <v>0</v>
      </c>
      <c r="E57" s="182">
        <v>0</v>
      </c>
      <c r="F57" s="193">
        <v>0</v>
      </c>
    </row>
    <row r="58" spans="1:6" ht="26.4" x14ac:dyDescent="0.25">
      <c r="A58" s="192" t="s">
        <v>630</v>
      </c>
      <c r="B58" s="181" t="s">
        <v>631</v>
      </c>
      <c r="C58" s="182">
        <v>0</v>
      </c>
      <c r="D58" s="182">
        <v>0</v>
      </c>
      <c r="E58" s="182">
        <v>0</v>
      </c>
      <c r="F58" s="193">
        <v>0</v>
      </c>
    </row>
    <row r="59" spans="1:6" ht="26.4" x14ac:dyDescent="0.25">
      <c r="A59" s="192" t="s">
        <v>632</v>
      </c>
      <c r="B59" s="181" t="s">
        <v>633</v>
      </c>
      <c r="C59" s="182">
        <v>0</v>
      </c>
      <c r="D59" s="182">
        <v>0</v>
      </c>
      <c r="E59" s="182">
        <v>0</v>
      </c>
      <c r="F59" s="193">
        <v>0</v>
      </c>
    </row>
    <row r="60" spans="1:6" ht="26.4" x14ac:dyDescent="0.25">
      <c r="A60" s="192" t="s">
        <v>634</v>
      </c>
      <c r="B60" s="181" t="s">
        <v>635</v>
      </c>
      <c r="C60" s="182">
        <v>0</v>
      </c>
      <c r="D60" s="182">
        <v>0</v>
      </c>
      <c r="E60" s="182">
        <v>0</v>
      </c>
      <c r="F60" s="193">
        <v>0</v>
      </c>
    </row>
    <row r="61" spans="1:6" ht="26.4" x14ac:dyDescent="0.25">
      <c r="A61" s="192" t="s">
        <v>636</v>
      </c>
      <c r="B61" s="181" t="s">
        <v>637</v>
      </c>
      <c r="C61" s="182">
        <v>0</v>
      </c>
      <c r="D61" s="182">
        <v>0</v>
      </c>
      <c r="E61" s="182">
        <v>0</v>
      </c>
      <c r="F61" s="193">
        <v>0</v>
      </c>
    </row>
    <row r="62" spans="1:6" ht="39.6" x14ac:dyDescent="0.25">
      <c r="A62" s="192" t="s">
        <v>638</v>
      </c>
      <c r="B62" s="181" t="s">
        <v>639</v>
      </c>
      <c r="C62" s="182">
        <v>0</v>
      </c>
      <c r="D62" s="182">
        <v>0</v>
      </c>
      <c r="E62" s="182">
        <v>0</v>
      </c>
      <c r="F62" s="193">
        <v>0</v>
      </c>
    </row>
    <row r="63" spans="1:6" ht="26.4" x14ac:dyDescent="0.25">
      <c r="A63" s="192" t="s">
        <v>640</v>
      </c>
      <c r="B63" s="181" t="s">
        <v>641</v>
      </c>
      <c r="C63" s="182">
        <v>0</v>
      </c>
      <c r="D63" s="182">
        <v>0</v>
      </c>
      <c r="E63" s="182">
        <v>0</v>
      </c>
      <c r="F63" s="193">
        <v>0</v>
      </c>
    </row>
    <row r="64" spans="1:6" x14ac:dyDescent="0.25">
      <c r="A64" s="192" t="s">
        <v>642</v>
      </c>
      <c r="B64" s="181" t="s">
        <v>643</v>
      </c>
      <c r="C64" s="182">
        <v>0</v>
      </c>
      <c r="D64" s="182">
        <v>0</v>
      </c>
      <c r="E64" s="182">
        <v>0</v>
      </c>
      <c r="F64" s="193">
        <v>0</v>
      </c>
    </row>
    <row r="65" spans="1:6" x14ac:dyDescent="0.25">
      <c r="A65" s="192" t="s">
        <v>644</v>
      </c>
      <c r="B65" s="181" t="s">
        <v>645</v>
      </c>
      <c r="C65" s="182">
        <v>0</v>
      </c>
      <c r="D65" s="182">
        <v>0</v>
      </c>
      <c r="E65" s="182">
        <v>0</v>
      </c>
      <c r="F65" s="193">
        <v>0</v>
      </c>
    </row>
    <row r="66" spans="1:6" ht="39.6" x14ac:dyDescent="0.25">
      <c r="A66" s="192" t="s">
        <v>646</v>
      </c>
      <c r="B66" s="181" t="s">
        <v>647</v>
      </c>
      <c r="C66" s="182">
        <v>0</v>
      </c>
      <c r="D66" s="182">
        <v>0</v>
      </c>
      <c r="E66" s="182">
        <v>0</v>
      </c>
      <c r="F66" s="193">
        <v>0</v>
      </c>
    </row>
    <row r="67" spans="1:6" x14ac:dyDescent="0.25">
      <c r="A67" s="192" t="s">
        <v>648</v>
      </c>
      <c r="B67" s="181" t="s">
        <v>649</v>
      </c>
      <c r="C67" s="182">
        <v>0</v>
      </c>
      <c r="D67" s="182">
        <v>0</v>
      </c>
      <c r="E67" s="182">
        <v>0</v>
      </c>
      <c r="F67" s="193">
        <v>0</v>
      </c>
    </row>
    <row r="68" spans="1:6" ht="39.6" x14ac:dyDescent="0.25">
      <c r="A68" s="192" t="s">
        <v>650</v>
      </c>
      <c r="B68" s="181" t="s">
        <v>651</v>
      </c>
      <c r="C68" s="182">
        <v>0</v>
      </c>
      <c r="D68" s="182">
        <v>0</v>
      </c>
      <c r="E68" s="182">
        <v>0</v>
      </c>
      <c r="F68" s="193">
        <v>0</v>
      </c>
    </row>
    <row r="69" spans="1:6" ht="26.4" x14ac:dyDescent="0.25">
      <c r="A69" s="192" t="s">
        <v>652</v>
      </c>
      <c r="B69" s="181" t="s">
        <v>653</v>
      </c>
      <c r="C69" s="182">
        <v>0</v>
      </c>
      <c r="D69" s="182">
        <v>0</v>
      </c>
      <c r="E69" s="182">
        <v>0</v>
      </c>
      <c r="F69" s="193">
        <v>0</v>
      </c>
    </row>
    <row r="70" spans="1:6" ht="26.4" x14ac:dyDescent="0.25">
      <c r="A70" s="192" t="s">
        <v>654</v>
      </c>
      <c r="B70" s="181" t="s">
        <v>655</v>
      </c>
      <c r="C70" s="182">
        <v>0</v>
      </c>
      <c r="D70" s="182">
        <v>0</v>
      </c>
      <c r="E70" s="182">
        <v>0</v>
      </c>
      <c r="F70" s="193">
        <v>0</v>
      </c>
    </row>
    <row r="71" spans="1:6" ht="26.4" x14ac:dyDescent="0.25">
      <c r="A71" s="192" t="s">
        <v>656</v>
      </c>
      <c r="B71" s="181" t="s">
        <v>657</v>
      </c>
      <c r="C71" s="182">
        <v>0</v>
      </c>
      <c r="D71" s="182">
        <v>0</v>
      </c>
      <c r="E71" s="182">
        <v>0</v>
      </c>
      <c r="F71" s="193">
        <v>0</v>
      </c>
    </row>
    <row r="72" spans="1:6" ht="26.4" x14ac:dyDescent="0.25">
      <c r="A72" s="192" t="s">
        <v>658</v>
      </c>
      <c r="B72" s="181" t="s">
        <v>659</v>
      </c>
      <c r="C72" s="182">
        <v>0</v>
      </c>
      <c r="D72" s="182">
        <v>0</v>
      </c>
      <c r="E72" s="182">
        <v>0</v>
      </c>
      <c r="F72" s="193">
        <v>0</v>
      </c>
    </row>
    <row r="73" spans="1:6" ht="26.4" x14ac:dyDescent="0.25">
      <c r="A73" s="192" t="s">
        <v>660</v>
      </c>
      <c r="B73" s="181" t="s">
        <v>661</v>
      </c>
      <c r="C73" s="182">
        <v>0</v>
      </c>
      <c r="D73" s="182">
        <v>0</v>
      </c>
      <c r="E73" s="182">
        <v>0</v>
      </c>
      <c r="F73" s="193">
        <v>0</v>
      </c>
    </row>
    <row r="74" spans="1:6" ht="26.4" x14ac:dyDescent="0.25">
      <c r="A74" s="192" t="s">
        <v>662</v>
      </c>
      <c r="B74" s="181" t="s">
        <v>663</v>
      </c>
      <c r="C74" s="182">
        <v>0</v>
      </c>
      <c r="D74" s="182">
        <v>0</v>
      </c>
      <c r="E74" s="182">
        <v>0</v>
      </c>
      <c r="F74" s="193">
        <v>0</v>
      </c>
    </row>
    <row r="75" spans="1:6" ht="26.4" x14ac:dyDescent="0.25">
      <c r="A75" s="192" t="s">
        <v>664</v>
      </c>
      <c r="B75" s="181" t="s">
        <v>665</v>
      </c>
      <c r="C75" s="182">
        <v>0</v>
      </c>
      <c r="D75" s="182">
        <v>0</v>
      </c>
      <c r="E75" s="182">
        <v>0</v>
      </c>
      <c r="F75" s="193">
        <v>0</v>
      </c>
    </row>
    <row r="76" spans="1:6" ht="26.4" x14ac:dyDescent="0.25">
      <c r="A76" s="192" t="s">
        <v>666</v>
      </c>
      <c r="B76" s="181" t="s">
        <v>667</v>
      </c>
      <c r="C76" s="182">
        <v>0</v>
      </c>
      <c r="D76" s="182">
        <v>0</v>
      </c>
      <c r="E76" s="182">
        <v>0</v>
      </c>
      <c r="F76" s="193">
        <v>0</v>
      </c>
    </row>
    <row r="77" spans="1:6" ht="26.4" x14ac:dyDescent="0.25">
      <c r="A77" s="192" t="s">
        <v>668</v>
      </c>
      <c r="B77" s="181" t="s">
        <v>669</v>
      </c>
      <c r="C77" s="182">
        <v>0</v>
      </c>
      <c r="D77" s="182">
        <v>0</v>
      </c>
      <c r="E77" s="182">
        <v>0</v>
      </c>
      <c r="F77" s="193">
        <v>0</v>
      </c>
    </row>
    <row r="78" spans="1:6" ht="26.4" x14ac:dyDescent="0.25">
      <c r="A78" s="192" t="s">
        <v>670</v>
      </c>
      <c r="B78" s="181" t="s">
        <v>671</v>
      </c>
      <c r="C78" s="182">
        <v>941600</v>
      </c>
      <c r="D78" s="182">
        <v>941600</v>
      </c>
      <c r="E78" s="182">
        <v>0</v>
      </c>
      <c r="F78" s="193">
        <v>0</v>
      </c>
    </row>
    <row r="79" spans="1:6" ht="39.6" x14ac:dyDescent="0.25">
      <c r="A79" s="192" t="s">
        <v>672</v>
      </c>
      <c r="B79" s="181" t="s">
        <v>673</v>
      </c>
      <c r="C79" s="182">
        <v>0</v>
      </c>
      <c r="D79" s="182">
        <v>0</v>
      </c>
      <c r="E79" s="182">
        <v>0</v>
      </c>
      <c r="F79" s="193">
        <v>0</v>
      </c>
    </row>
    <row r="80" spans="1:6" ht="39.6" x14ac:dyDescent="0.25">
      <c r="A80" s="192" t="s">
        <v>674</v>
      </c>
      <c r="B80" s="181" t="s">
        <v>675</v>
      </c>
      <c r="C80" s="182">
        <v>0</v>
      </c>
      <c r="D80" s="182">
        <v>0</v>
      </c>
      <c r="E80" s="182">
        <v>0</v>
      </c>
      <c r="F80" s="193">
        <v>0</v>
      </c>
    </row>
    <row r="81" spans="1:6" ht="26.4" x14ac:dyDescent="0.25">
      <c r="A81" s="192" t="s">
        <v>676</v>
      </c>
      <c r="B81" s="181" t="s">
        <v>677</v>
      </c>
      <c r="C81" s="182">
        <v>0</v>
      </c>
      <c r="D81" s="182">
        <v>0</v>
      </c>
      <c r="E81" s="182">
        <v>0</v>
      </c>
      <c r="F81" s="193">
        <v>0</v>
      </c>
    </row>
    <row r="82" spans="1:6" ht="26.4" x14ac:dyDescent="0.25">
      <c r="A82" s="192" t="s">
        <v>678</v>
      </c>
      <c r="B82" s="181" t="s">
        <v>679</v>
      </c>
      <c r="C82" s="182">
        <v>0</v>
      </c>
      <c r="D82" s="182">
        <v>0</v>
      </c>
      <c r="E82" s="182">
        <v>0</v>
      </c>
      <c r="F82" s="193">
        <v>0</v>
      </c>
    </row>
    <row r="83" spans="1:6" ht="26.4" x14ac:dyDescent="0.25">
      <c r="A83" s="192" t="s">
        <v>680</v>
      </c>
      <c r="B83" s="181" t="s">
        <v>681</v>
      </c>
      <c r="C83" s="182">
        <v>0</v>
      </c>
      <c r="D83" s="182">
        <v>0</v>
      </c>
      <c r="E83" s="182">
        <v>0</v>
      </c>
      <c r="F83" s="193">
        <v>0</v>
      </c>
    </row>
    <row r="84" spans="1:6" ht="26.4" x14ac:dyDescent="0.25">
      <c r="A84" s="192" t="s">
        <v>682</v>
      </c>
      <c r="B84" s="181" t="s">
        <v>683</v>
      </c>
      <c r="C84" s="182">
        <v>0</v>
      </c>
      <c r="D84" s="182">
        <v>0</v>
      </c>
      <c r="E84" s="182">
        <v>0</v>
      </c>
      <c r="F84" s="193">
        <v>0</v>
      </c>
    </row>
    <row r="85" spans="1:6" ht="26.4" x14ac:dyDescent="0.25">
      <c r="A85" s="192" t="s">
        <v>684</v>
      </c>
      <c r="B85" s="181" t="s">
        <v>685</v>
      </c>
      <c r="C85" s="182">
        <v>0</v>
      </c>
      <c r="D85" s="182">
        <v>0</v>
      </c>
      <c r="E85" s="182">
        <v>0</v>
      </c>
      <c r="F85" s="193">
        <v>0</v>
      </c>
    </row>
    <row r="86" spans="1:6" ht="26.4" x14ac:dyDescent="0.25">
      <c r="A86" s="192" t="s">
        <v>686</v>
      </c>
      <c r="B86" s="181" t="s">
        <v>687</v>
      </c>
      <c r="C86" s="182">
        <v>0</v>
      </c>
      <c r="D86" s="182">
        <v>0</v>
      </c>
      <c r="E86" s="182">
        <v>0</v>
      </c>
      <c r="F86" s="193">
        <v>0</v>
      </c>
    </row>
    <row r="87" spans="1:6" ht="26.4" x14ac:dyDescent="0.25">
      <c r="A87" s="192" t="s">
        <v>688</v>
      </c>
      <c r="B87" s="181" t="s">
        <v>689</v>
      </c>
      <c r="C87" s="182">
        <v>0</v>
      </c>
      <c r="D87" s="182">
        <v>0</v>
      </c>
      <c r="E87" s="182">
        <v>0</v>
      </c>
      <c r="F87" s="193">
        <v>0</v>
      </c>
    </row>
    <row r="88" spans="1:6" ht="26.4" x14ac:dyDescent="0.25">
      <c r="A88" s="192" t="s">
        <v>690</v>
      </c>
      <c r="B88" s="181" t="s">
        <v>691</v>
      </c>
      <c r="C88" s="182">
        <v>0</v>
      </c>
      <c r="D88" s="182">
        <v>0</v>
      </c>
      <c r="E88" s="182">
        <v>0</v>
      </c>
      <c r="F88" s="193">
        <v>0</v>
      </c>
    </row>
    <row r="89" spans="1:6" ht="26.4" x14ac:dyDescent="0.25">
      <c r="A89" s="192" t="s">
        <v>692</v>
      </c>
      <c r="B89" s="181" t="s">
        <v>693</v>
      </c>
      <c r="C89" s="182">
        <v>0</v>
      </c>
      <c r="D89" s="182">
        <v>0</v>
      </c>
      <c r="E89" s="182">
        <v>0</v>
      </c>
      <c r="F89" s="193">
        <v>0</v>
      </c>
    </row>
    <row r="90" spans="1:6" ht="26.4" x14ac:dyDescent="0.25">
      <c r="A90" s="192" t="s">
        <v>694</v>
      </c>
      <c r="B90" s="181" t="s">
        <v>695</v>
      </c>
      <c r="C90" s="182">
        <v>0</v>
      </c>
      <c r="D90" s="182">
        <v>0</v>
      </c>
      <c r="E90" s="182">
        <v>0</v>
      </c>
      <c r="F90" s="193">
        <v>0</v>
      </c>
    </row>
    <row r="91" spans="1:6" ht="26.4" x14ac:dyDescent="0.25">
      <c r="A91" s="192" t="s">
        <v>696</v>
      </c>
      <c r="B91" s="181" t="s">
        <v>697</v>
      </c>
      <c r="C91" s="182">
        <v>0</v>
      </c>
      <c r="D91" s="182">
        <v>0</v>
      </c>
      <c r="E91" s="182">
        <v>0</v>
      </c>
      <c r="F91" s="193">
        <v>0</v>
      </c>
    </row>
    <row r="92" spans="1:6" ht="52.8" x14ac:dyDescent="0.25">
      <c r="A92" s="192" t="s">
        <v>698</v>
      </c>
      <c r="B92" s="181" t="s">
        <v>699</v>
      </c>
      <c r="C92" s="182">
        <v>0</v>
      </c>
      <c r="D92" s="182">
        <v>0</v>
      </c>
      <c r="E92" s="182">
        <v>0</v>
      </c>
      <c r="F92" s="193">
        <v>0</v>
      </c>
    </row>
    <row r="93" spans="1:6" ht="26.4" x14ac:dyDescent="0.25">
      <c r="A93" s="192" t="s">
        <v>700</v>
      </c>
      <c r="B93" s="181" t="s">
        <v>701</v>
      </c>
      <c r="C93" s="182">
        <v>0</v>
      </c>
      <c r="D93" s="182">
        <v>0</v>
      </c>
      <c r="E93" s="182">
        <v>0</v>
      </c>
      <c r="F93" s="193">
        <v>0</v>
      </c>
    </row>
    <row r="94" spans="1:6" ht="26.4" x14ac:dyDescent="0.25">
      <c r="A94" s="192" t="s">
        <v>702</v>
      </c>
      <c r="B94" s="181" t="s">
        <v>703</v>
      </c>
      <c r="C94" s="182">
        <v>0</v>
      </c>
      <c r="D94" s="182">
        <v>0</v>
      </c>
      <c r="E94" s="182">
        <v>0</v>
      </c>
      <c r="F94" s="193">
        <v>0</v>
      </c>
    </row>
    <row r="95" spans="1:6" ht="26.4" x14ac:dyDescent="0.25">
      <c r="A95" s="192" t="s">
        <v>704</v>
      </c>
      <c r="B95" s="181" t="s">
        <v>705</v>
      </c>
      <c r="C95" s="182">
        <v>728240</v>
      </c>
      <c r="D95" s="182">
        <v>728240</v>
      </c>
      <c r="E95" s="182">
        <v>0</v>
      </c>
      <c r="F95" s="193">
        <v>0</v>
      </c>
    </row>
    <row r="96" spans="1:6" ht="39.6" x14ac:dyDescent="0.25">
      <c r="A96" s="192" t="s">
        <v>706</v>
      </c>
      <c r="B96" s="181" t="s">
        <v>707</v>
      </c>
      <c r="C96" s="182">
        <v>0</v>
      </c>
      <c r="D96" s="182">
        <v>0</v>
      </c>
      <c r="E96" s="182">
        <v>0</v>
      </c>
      <c r="F96" s="193">
        <v>0</v>
      </c>
    </row>
    <row r="97" spans="1:6" x14ac:dyDescent="0.25">
      <c r="A97" s="192" t="s">
        <v>708</v>
      </c>
      <c r="B97" s="181" t="s">
        <v>709</v>
      </c>
      <c r="C97" s="182">
        <v>0</v>
      </c>
      <c r="D97" s="182">
        <v>0</v>
      </c>
      <c r="E97" s="182">
        <v>0</v>
      </c>
      <c r="F97" s="193">
        <v>0</v>
      </c>
    </row>
    <row r="98" spans="1:6" ht="26.4" x14ac:dyDescent="0.25">
      <c r="A98" s="192" t="s">
        <v>710</v>
      </c>
      <c r="B98" s="181" t="s">
        <v>711</v>
      </c>
      <c r="C98" s="182">
        <v>0</v>
      </c>
      <c r="D98" s="182">
        <v>0</v>
      </c>
      <c r="E98" s="182">
        <v>0</v>
      </c>
      <c r="F98" s="193">
        <v>0</v>
      </c>
    </row>
    <row r="99" spans="1:6" x14ac:dyDescent="0.25">
      <c r="A99" s="192" t="s">
        <v>712</v>
      </c>
      <c r="B99" s="181" t="s">
        <v>713</v>
      </c>
      <c r="C99" s="182">
        <v>0</v>
      </c>
      <c r="D99" s="182">
        <v>0</v>
      </c>
      <c r="E99" s="182">
        <v>0</v>
      </c>
      <c r="F99" s="193">
        <v>0</v>
      </c>
    </row>
    <row r="100" spans="1:6" ht="52.8" x14ac:dyDescent="0.25">
      <c r="A100" s="192" t="s">
        <v>714</v>
      </c>
      <c r="B100" s="181" t="s">
        <v>715</v>
      </c>
      <c r="C100" s="182">
        <v>0</v>
      </c>
      <c r="D100" s="182">
        <v>0</v>
      </c>
      <c r="E100" s="182">
        <v>0</v>
      </c>
      <c r="F100" s="193">
        <v>0</v>
      </c>
    </row>
    <row r="101" spans="1:6" ht="26.4" x14ac:dyDescent="0.25">
      <c r="A101" s="192" t="s">
        <v>716</v>
      </c>
      <c r="B101" s="181" t="s">
        <v>717</v>
      </c>
      <c r="C101" s="182">
        <v>0</v>
      </c>
      <c r="D101" s="182">
        <v>0</v>
      </c>
      <c r="E101" s="182">
        <v>0</v>
      </c>
      <c r="F101" s="193">
        <v>0</v>
      </c>
    </row>
    <row r="102" spans="1:6" ht="39.6" x14ac:dyDescent="0.25">
      <c r="A102" s="192" t="s">
        <v>718</v>
      </c>
      <c r="B102" s="181" t="s">
        <v>719</v>
      </c>
      <c r="C102" s="182">
        <v>0</v>
      </c>
      <c r="D102" s="182">
        <v>0</v>
      </c>
      <c r="E102" s="182">
        <v>0</v>
      </c>
      <c r="F102" s="193">
        <v>0</v>
      </c>
    </row>
    <row r="103" spans="1:6" ht="26.4" x14ac:dyDescent="0.25">
      <c r="A103" s="192" t="s">
        <v>720</v>
      </c>
      <c r="B103" s="181" t="s">
        <v>721</v>
      </c>
      <c r="C103" s="182">
        <v>0</v>
      </c>
      <c r="D103" s="182">
        <v>0</v>
      </c>
      <c r="E103" s="182">
        <v>0</v>
      </c>
      <c r="F103" s="193">
        <v>0</v>
      </c>
    </row>
    <row r="104" spans="1:6" ht="26.4" x14ac:dyDescent="0.25">
      <c r="A104" s="192" t="s">
        <v>722</v>
      </c>
      <c r="B104" s="181" t="s">
        <v>723</v>
      </c>
      <c r="C104" s="182">
        <v>0</v>
      </c>
      <c r="D104" s="182">
        <v>0</v>
      </c>
      <c r="E104" s="182">
        <v>0</v>
      </c>
      <c r="F104" s="193">
        <v>0</v>
      </c>
    </row>
    <row r="105" spans="1:6" ht="26.4" x14ac:dyDescent="0.25">
      <c r="A105" s="192" t="s">
        <v>724</v>
      </c>
      <c r="B105" s="181" t="s">
        <v>725</v>
      </c>
      <c r="C105" s="182">
        <v>0</v>
      </c>
      <c r="D105" s="182">
        <v>0</v>
      </c>
      <c r="E105" s="182">
        <v>0</v>
      </c>
      <c r="F105" s="193">
        <v>0</v>
      </c>
    </row>
    <row r="106" spans="1:6" ht="26.4" x14ac:dyDescent="0.25">
      <c r="A106" s="192" t="s">
        <v>726</v>
      </c>
      <c r="B106" s="181" t="s">
        <v>727</v>
      </c>
      <c r="C106" s="182">
        <v>0</v>
      </c>
      <c r="D106" s="182">
        <v>0</v>
      </c>
      <c r="E106" s="182">
        <v>0</v>
      </c>
      <c r="F106" s="193">
        <v>0</v>
      </c>
    </row>
    <row r="107" spans="1:6" ht="26.4" x14ac:dyDescent="0.25">
      <c r="A107" s="192" t="s">
        <v>728</v>
      </c>
      <c r="B107" s="181" t="s">
        <v>729</v>
      </c>
      <c r="C107" s="182">
        <v>0</v>
      </c>
      <c r="D107" s="182">
        <v>0</v>
      </c>
      <c r="E107" s="182">
        <v>0</v>
      </c>
      <c r="F107" s="193">
        <v>0</v>
      </c>
    </row>
    <row r="108" spans="1:6" ht="26.4" x14ac:dyDescent="0.25">
      <c r="A108" s="192" t="s">
        <v>730</v>
      </c>
      <c r="B108" s="181" t="s">
        <v>731</v>
      </c>
      <c r="C108" s="182">
        <v>0</v>
      </c>
      <c r="D108" s="182">
        <v>0</v>
      </c>
      <c r="E108" s="182">
        <v>0</v>
      </c>
      <c r="F108" s="193">
        <v>0</v>
      </c>
    </row>
    <row r="109" spans="1:6" ht="39.6" x14ac:dyDescent="0.25">
      <c r="A109" s="192" t="s">
        <v>732</v>
      </c>
      <c r="B109" s="181" t="s">
        <v>733</v>
      </c>
      <c r="C109" s="182">
        <v>0</v>
      </c>
      <c r="D109" s="182">
        <v>0</v>
      </c>
      <c r="E109" s="182">
        <v>0</v>
      </c>
      <c r="F109" s="193">
        <v>0</v>
      </c>
    </row>
    <row r="110" spans="1:6" ht="39.6" x14ac:dyDescent="0.25">
      <c r="A110" s="192" t="s">
        <v>734</v>
      </c>
      <c r="B110" s="181" t="s">
        <v>735</v>
      </c>
      <c r="C110" s="182">
        <v>0</v>
      </c>
      <c r="D110" s="182">
        <v>0</v>
      </c>
      <c r="E110" s="182">
        <v>0</v>
      </c>
      <c r="F110" s="193">
        <v>0</v>
      </c>
    </row>
    <row r="111" spans="1:6" ht="26.4" x14ac:dyDescent="0.25">
      <c r="A111" s="192" t="s">
        <v>736</v>
      </c>
      <c r="B111" s="181" t="s">
        <v>737</v>
      </c>
      <c r="C111" s="182">
        <v>0</v>
      </c>
      <c r="D111" s="182">
        <v>0</v>
      </c>
      <c r="E111" s="182">
        <v>0</v>
      </c>
      <c r="F111" s="193">
        <v>0</v>
      </c>
    </row>
    <row r="112" spans="1:6" ht="26.4" x14ac:dyDescent="0.25">
      <c r="A112" s="192" t="s">
        <v>738</v>
      </c>
      <c r="B112" s="181" t="s">
        <v>739</v>
      </c>
      <c r="C112" s="182">
        <v>0</v>
      </c>
      <c r="D112" s="182">
        <v>0</v>
      </c>
      <c r="E112" s="182">
        <v>0</v>
      </c>
      <c r="F112" s="193">
        <v>0</v>
      </c>
    </row>
    <row r="113" spans="1:6" ht="26.4" x14ac:dyDescent="0.25">
      <c r="A113" s="192" t="s">
        <v>740</v>
      </c>
      <c r="B113" s="181" t="s">
        <v>741</v>
      </c>
      <c r="C113" s="182">
        <v>0</v>
      </c>
      <c r="D113" s="182">
        <v>0</v>
      </c>
      <c r="E113" s="182">
        <v>0</v>
      </c>
      <c r="F113" s="193">
        <v>0</v>
      </c>
    </row>
    <row r="114" spans="1:6" ht="26.4" x14ac:dyDescent="0.25">
      <c r="A114" s="192" t="s">
        <v>742</v>
      </c>
      <c r="B114" s="181" t="s">
        <v>743</v>
      </c>
      <c r="C114" s="182">
        <v>0</v>
      </c>
      <c r="D114" s="182">
        <v>0</v>
      </c>
      <c r="E114" s="182">
        <v>0</v>
      </c>
      <c r="F114" s="193">
        <v>0</v>
      </c>
    </row>
    <row r="115" spans="1:6" ht="39.6" x14ac:dyDescent="0.25">
      <c r="A115" s="192" t="s">
        <v>744</v>
      </c>
      <c r="B115" s="181" t="s">
        <v>745</v>
      </c>
      <c r="C115" s="182">
        <v>0</v>
      </c>
      <c r="D115" s="182">
        <v>0</v>
      </c>
      <c r="E115" s="182">
        <v>0</v>
      </c>
      <c r="F115" s="193">
        <v>0</v>
      </c>
    </row>
    <row r="116" spans="1:6" ht="26.4" x14ac:dyDescent="0.25">
      <c r="A116" s="192" t="s">
        <v>746</v>
      </c>
      <c r="B116" s="181" t="s">
        <v>747</v>
      </c>
      <c r="C116" s="182">
        <v>0</v>
      </c>
      <c r="D116" s="182">
        <v>0</v>
      </c>
      <c r="E116" s="182">
        <v>0</v>
      </c>
      <c r="F116" s="193">
        <v>0</v>
      </c>
    </row>
    <row r="117" spans="1:6" ht="26.4" x14ac:dyDescent="0.25">
      <c r="A117" s="192" t="s">
        <v>748</v>
      </c>
      <c r="B117" s="181" t="s">
        <v>749</v>
      </c>
      <c r="C117" s="182">
        <v>0</v>
      </c>
      <c r="D117" s="182">
        <v>0</v>
      </c>
      <c r="E117" s="182">
        <v>0</v>
      </c>
      <c r="F117" s="193">
        <v>0</v>
      </c>
    </row>
    <row r="118" spans="1:6" ht="26.4" x14ac:dyDescent="0.25">
      <c r="A118" s="192" t="s">
        <v>750</v>
      </c>
      <c r="B118" s="181" t="s">
        <v>751</v>
      </c>
      <c r="C118" s="182">
        <v>0</v>
      </c>
      <c r="D118" s="182">
        <v>0</v>
      </c>
      <c r="E118" s="182">
        <v>0</v>
      </c>
      <c r="F118" s="193">
        <v>0</v>
      </c>
    </row>
    <row r="119" spans="1:6" ht="26.4" x14ac:dyDescent="0.25">
      <c r="A119" s="192" t="s">
        <v>752</v>
      </c>
      <c r="B119" s="181" t="s">
        <v>753</v>
      </c>
      <c r="C119" s="182">
        <v>0</v>
      </c>
      <c r="D119" s="182">
        <v>0</v>
      </c>
      <c r="E119" s="182">
        <v>0</v>
      </c>
      <c r="F119" s="193">
        <v>0</v>
      </c>
    </row>
    <row r="120" spans="1:6" ht="26.4" x14ac:dyDescent="0.25">
      <c r="A120" s="192" t="s">
        <v>754</v>
      </c>
      <c r="B120" s="181" t="s">
        <v>755</v>
      </c>
      <c r="C120" s="182">
        <v>0</v>
      </c>
      <c r="D120" s="182">
        <v>0</v>
      </c>
      <c r="E120" s="182">
        <v>0</v>
      </c>
      <c r="F120" s="193">
        <v>0</v>
      </c>
    </row>
    <row r="121" spans="1:6" ht="26.4" x14ac:dyDescent="0.25">
      <c r="A121" s="192" t="s">
        <v>756</v>
      </c>
      <c r="B121" s="181" t="s">
        <v>757</v>
      </c>
      <c r="C121" s="182">
        <v>0</v>
      </c>
      <c r="D121" s="182">
        <v>0</v>
      </c>
      <c r="E121" s="182">
        <v>0</v>
      </c>
      <c r="F121" s="193">
        <v>0</v>
      </c>
    </row>
    <row r="122" spans="1:6" ht="26.4" x14ac:dyDescent="0.25">
      <c r="A122" s="192" t="s">
        <v>758</v>
      </c>
      <c r="B122" s="181" t="s">
        <v>759</v>
      </c>
      <c r="C122" s="182">
        <v>0</v>
      </c>
      <c r="D122" s="182">
        <v>0</v>
      </c>
      <c r="E122" s="182">
        <v>0</v>
      </c>
      <c r="F122" s="193">
        <v>0</v>
      </c>
    </row>
    <row r="123" spans="1:6" x14ac:dyDescent="0.25">
      <c r="A123" s="192" t="s">
        <v>760</v>
      </c>
      <c r="B123" s="181" t="s">
        <v>761</v>
      </c>
      <c r="C123" s="182">
        <v>0</v>
      </c>
      <c r="D123" s="182">
        <v>0</v>
      </c>
      <c r="E123" s="182">
        <v>0</v>
      </c>
      <c r="F123" s="193">
        <v>0</v>
      </c>
    </row>
    <row r="124" spans="1:6" ht="26.4" x14ac:dyDescent="0.25">
      <c r="A124" s="192" t="s">
        <v>762</v>
      </c>
      <c r="B124" s="181" t="s">
        <v>763</v>
      </c>
      <c r="C124" s="182">
        <v>0</v>
      </c>
      <c r="D124" s="182">
        <v>0</v>
      </c>
      <c r="E124" s="182">
        <v>0</v>
      </c>
      <c r="F124" s="193">
        <v>0</v>
      </c>
    </row>
    <row r="125" spans="1:6" ht="26.4" x14ac:dyDescent="0.25">
      <c r="A125" s="192" t="s">
        <v>764</v>
      </c>
      <c r="B125" s="181" t="s">
        <v>765</v>
      </c>
      <c r="C125" s="182">
        <v>0</v>
      </c>
      <c r="D125" s="182">
        <v>0</v>
      </c>
      <c r="E125" s="182">
        <v>0</v>
      </c>
      <c r="F125" s="193">
        <v>0</v>
      </c>
    </row>
    <row r="126" spans="1:6" ht="52.8" x14ac:dyDescent="0.25">
      <c r="A126" s="192" t="s">
        <v>766</v>
      </c>
      <c r="B126" s="181" t="s">
        <v>767</v>
      </c>
      <c r="C126" s="182">
        <v>2808000</v>
      </c>
      <c r="D126" s="182">
        <v>0</v>
      </c>
      <c r="E126" s="182">
        <v>2808000</v>
      </c>
      <c r="F126" s="193">
        <v>0</v>
      </c>
    </row>
    <row r="127" spans="1:6" ht="40.200000000000003" thickBot="1" x14ac:dyDescent="0.3">
      <c r="A127" s="196" t="s">
        <v>768</v>
      </c>
      <c r="B127" s="185" t="s">
        <v>769</v>
      </c>
      <c r="C127" s="186">
        <v>0</v>
      </c>
      <c r="D127" s="186">
        <v>0</v>
      </c>
      <c r="E127" s="186">
        <v>0</v>
      </c>
      <c r="F127" s="197">
        <v>0</v>
      </c>
    </row>
    <row r="128" spans="1:6" ht="27" thickBot="1" x14ac:dyDescent="0.3">
      <c r="A128" s="187" t="s">
        <v>770</v>
      </c>
      <c r="B128" s="188" t="s">
        <v>771</v>
      </c>
      <c r="C128" s="189">
        <v>79867960</v>
      </c>
      <c r="D128" s="189">
        <v>72739960</v>
      </c>
      <c r="E128" s="189">
        <v>7128000</v>
      </c>
      <c r="F128" s="190">
        <v>0</v>
      </c>
    </row>
  </sheetData>
  <mergeCells count="1">
    <mergeCell ref="A1:F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C8" sqref="C8"/>
    </sheetView>
  </sheetViews>
  <sheetFormatPr defaultRowHeight="13.2" x14ac:dyDescent="0.25"/>
  <cols>
    <col min="1" max="1" width="8.33203125" customWidth="1"/>
    <col min="2" max="2" width="41" customWidth="1"/>
    <col min="3" max="11" width="32.6640625" customWidth="1"/>
    <col min="257" max="257" width="8.33203125" customWidth="1"/>
    <col min="258" max="258" width="41" customWidth="1"/>
    <col min="259" max="267" width="32.6640625" customWidth="1"/>
    <col min="513" max="513" width="8.33203125" customWidth="1"/>
    <col min="514" max="514" width="41" customWidth="1"/>
    <col min="515" max="523" width="32.6640625" customWidth="1"/>
    <col min="769" max="769" width="8.33203125" customWidth="1"/>
    <col min="770" max="770" width="41" customWidth="1"/>
    <col min="771" max="779" width="32.6640625" customWidth="1"/>
    <col min="1025" max="1025" width="8.33203125" customWidth="1"/>
    <col min="1026" max="1026" width="41" customWidth="1"/>
    <col min="1027" max="1035" width="32.6640625" customWidth="1"/>
    <col min="1281" max="1281" width="8.33203125" customWidth="1"/>
    <col min="1282" max="1282" width="41" customWidth="1"/>
    <col min="1283" max="1291" width="32.6640625" customWidth="1"/>
    <col min="1537" max="1537" width="8.33203125" customWidth="1"/>
    <col min="1538" max="1538" width="41" customWidth="1"/>
    <col min="1539" max="1547" width="32.6640625" customWidth="1"/>
    <col min="1793" max="1793" width="8.33203125" customWidth="1"/>
    <col min="1794" max="1794" width="41" customWidth="1"/>
    <col min="1795" max="1803" width="32.6640625" customWidth="1"/>
    <col min="2049" max="2049" width="8.33203125" customWidth="1"/>
    <col min="2050" max="2050" width="41" customWidth="1"/>
    <col min="2051" max="2059" width="32.6640625" customWidth="1"/>
    <col min="2305" max="2305" width="8.33203125" customWidth="1"/>
    <col min="2306" max="2306" width="41" customWidth="1"/>
    <col min="2307" max="2315" width="32.6640625" customWidth="1"/>
    <col min="2561" max="2561" width="8.33203125" customWidth="1"/>
    <col min="2562" max="2562" width="41" customWidth="1"/>
    <col min="2563" max="2571" width="32.6640625" customWidth="1"/>
    <col min="2817" max="2817" width="8.33203125" customWidth="1"/>
    <col min="2818" max="2818" width="41" customWidth="1"/>
    <col min="2819" max="2827" width="32.6640625" customWidth="1"/>
    <col min="3073" max="3073" width="8.33203125" customWidth="1"/>
    <col min="3074" max="3074" width="41" customWidth="1"/>
    <col min="3075" max="3083" width="32.6640625" customWidth="1"/>
    <col min="3329" max="3329" width="8.33203125" customWidth="1"/>
    <col min="3330" max="3330" width="41" customWidth="1"/>
    <col min="3331" max="3339" width="32.6640625" customWidth="1"/>
    <col min="3585" max="3585" width="8.33203125" customWidth="1"/>
    <col min="3586" max="3586" width="41" customWidth="1"/>
    <col min="3587" max="3595" width="32.6640625" customWidth="1"/>
    <col min="3841" max="3841" width="8.33203125" customWidth="1"/>
    <col min="3842" max="3842" width="41" customWidth="1"/>
    <col min="3843" max="3851" width="32.6640625" customWidth="1"/>
    <col min="4097" max="4097" width="8.33203125" customWidth="1"/>
    <col min="4098" max="4098" width="41" customWidth="1"/>
    <col min="4099" max="4107" width="32.6640625" customWidth="1"/>
    <col min="4353" max="4353" width="8.33203125" customWidth="1"/>
    <col min="4354" max="4354" width="41" customWidth="1"/>
    <col min="4355" max="4363" width="32.6640625" customWidth="1"/>
    <col min="4609" max="4609" width="8.33203125" customWidth="1"/>
    <col min="4610" max="4610" width="41" customWidth="1"/>
    <col min="4611" max="4619" width="32.6640625" customWidth="1"/>
    <col min="4865" max="4865" width="8.33203125" customWidth="1"/>
    <col min="4866" max="4866" width="41" customWidth="1"/>
    <col min="4867" max="4875" width="32.6640625" customWidth="1"/>
    <col min="5121" max="5121" width="8.33203125" customWidth="1"/>
    <col min="5122" max="5122" width="41" customWidth="1"/>
    <col min="5123" max="5131" width="32.6640625" customWidth="1"/>
    <col min="5377" max="5377" width="8.33203125" customWidth="1"/>
    <col min="5378" max="5378" width="41" customWidth="1"/>
    <col min="5379" max="5387" width="32.6640625" customWidth="1"/>
    <col min="5633" max="5633" width="8.33203125" customWidth="1"/>
    <col min="5634" max="5634" width="41" customWidth="1"/>
    <col min="5635" max="5643" width="32.6640625" customWidth="1"/>
    <col min="5889" max="5889" width="8.33203125" customWidth="1"/>
    <col min="5890" max="5890" width="41" customWidth="1"/>
    <col min="5891" max="5899" width="32.6640625" customWidth="1"/>
    <col min="6145" max="6145" width="8.33203125" customWidth="1"/>
    <col min="6146" max="6146" width="41" customWidth="1"/>
    <col min="6147" max="6155" width="32.6640625" customWidth="1"/>
    <col min="6401" max="6401" width="8.33203125" customWidth="1"/>
    <col min="6402" max="6402" width="41" customWidth="1"/>
    <col min="6403" max="6411" width="32.6640625" customWidth="1"/>
    <col min="6657" max="6657" width="8.33203125" customWidth="1"/>
    <col min="6658" max="6658" width="41" customWidth="1"/>
    <col min="6659" max="6667" width="32.6640625" customWidth="1"/>
    <col min="6913" max="6913" width="8.33203125" customWidth="1"/>
    <col min="6914" max="6914" width="41" customWidth="1"/>
    <col min="6915" max="6923" width="32.6640625" customWidth="1"/>
    <col min="7169" max="7169" width="8.33203125" customWidth="1"/>
    <col min="7170" max="7170" width="41" customWidth="1"/>
    <col min="7171" max="7179" width="32.6640625" customWidth="1"/>
    <col min="7425" max="7425" width="8.33203125" customWidth="1"/>
    <col min="7426" max="7426" width="41" customWidth="1"/>
    <col min="7427" max="7435" width="32.6640625" customWidth="1"/>
    <col min="7681" max="7681" width="8.33203125" customWidth="1"/>
    <col min="7682" max="7682" width="41" customWidth="1"/>
    <col min="7683" max="7691" width="32.6640625" customWidth="1"/>
    <col min="7937" max="7937" width="8.33203125" customWidth="1"/>
    <col min="7938" max="7938" width="41" customWidth="1"/>
    <col min="7939" max="7947" width="32.6640625" customWidth="1"/>
    <col min="8193" max="8193" width="8.33203125" customWidth="1"/>
    <col min="8194" max="8194" width="41" customWidth="1"/>
    <col min="8195" max="8203" width="32.6640625" customWidth="1"/>
    <col min="8449" max="8449" width="8.33203125" customWidth="1"/>
    <col min="8450" max="8450" width="41" customWidth="1"/>
    <col min="8451" max="8459" width="32.6640625" customWidth="1"/>
    <col min="8705" max="8705" width="8.33203125" customWidth="1"/>
    <col min="8706" max="8706" width="41" customWidth="1"/>
    <col min="8707" max="8715" width="32.6640625" customWidth="1"/>
    <col min="8961" max="8961" width="8.33203125" customWidth="1"/>
    <col min="8962" max="8962" width="41" customWidth="1"/>
    <col min="8963" max="8971" width="32.6640625" customWidth="1"/>
    <col min="9217" max="9217" width="8.33203125" customWidth="1"/>
    <col min="9218" max="9218" width="41" customWidth="1"/>
    <col min="9219" max="9227" width="32.6640625" customWidth="1"/>
    <col min="9473" max="9473" width="8.33203125" customWidth="1"/>
    <col min="9474" max="9474" width="41" customWidth="1"/>
    <col min="9475" max="9483" width="32.6640625" customWidth="1"/>
    <col min="9729" max="9729" width="8.33203125" customWidth="1"/>
    <col min="9730" max="9730" width="41" customWidth="1"/>
    <col min="9731" max="9739" width="32.6640625" customWidth="1"/>
    <col min="9985" max="9985" width="8.33203125" customWidth="1"/>
    <col min="9986" max="9986" width="41" customWidth="1"/>
    <col min="9987" max="9995" width="32.6640625" customWidth="1"/>
    <col min="10241" max="10241" width="8.33203125" customWidth="1"/>
    <col min="10242" max="10242" width="41" customWidth="1"/>
    <col min="10243" max="10251" width="32.6640625" customWidth="1"/>
    <col min="10497" max="10497" width="8.33203125" customWidth="1"/>
    <col min="10498" max="10498" width="41" customWidth="1"/>
    <col min="10499" max="10507" width="32.6640625" customWidth="1"/>
    <col min="10753" max="10753" width="8.33203125" customWidth="1"/>
    <col min="10754" max="10754" width="41" customWidth="1"/>
    <col min="10755" max="10763" width="32.6640625" customWidth="1"/>
    <col min="11009" max="11009" width="8.33203125" customWidth="1"/>
    <col min="11010" max="11010" width="41" customWidth="1"/>
    <col min="11011" max="11019" width="32.6640625" customWidth="1"/>
    <col min="11265" max="11265" width="8.33203125" customWidth="1"/>
    <col min="11266" max="11266" width="41" customWidth="1"/>
    <col min="11267" max="11275" width="32.6640625" customWidth="1"/>
    <col min="11521" max="11521" width="8.33203125" customWidth="1"/>
    <col min="11522" max="11522" width="41" customWidth="1"/>
    <col min="11523" max="11531" width="32.6640625" customWidth="1"/>
    <col min="11777" max="11777" width="8.33203125" customWidth="1"/>
    <col min="11778" max="11778" width="41" customWidth="1"/>
    <col min="11779" max="11787" width="32.6640625" customWidth="1"/>
    <col min="12033" max="12033" width="8.33203125" customWidth="1"/>
    <col min="12034" max="12034" width="41" customWidth="1"/>
    <col min="12035" max="12043" width="32.6640625" customWidth="1"/>
    <col min="12289" max="12289" width="8.33203125" customWidth="1"/>
    <col min="12290" max="12290" width="41" customWidth="1"/>
    <col min="12291" max="12299" width="32.6640625" customWidth="1"/>
    <col min="12545" max="12545" width="8.33203125" customWidth="1"/>
    <col min="12546" max="12546" width="41" customWidth="1"/>
    <col min="12547" max="12555" width="32.6640625" customWidth="1"/>
    <col min="12801" max="12801" width="8.33203125" customWidth="1"/>
    <col min="12802" max="12802" width="41" customWidth="1"/>
    <col min="12803" max="12811" width="32.6640625" customWidth="1"/>
    <col min="13057" max="13057" width="8.33203125" customWidth="1"/>
    <col min="13058" max="13058" width="41" customWidth="1"/>
    <col min="13059" max="13067" width="32.6640625" customWidth="1"/>
    <col min="13313" max="13313" width="8.33203125" customWidth="1"/>
    <col min="13314" max="13314" width="41" customWidth="1"/>
    <col min="13315" max="13323" width="32.6640625" customWidth="1"/>
    <col min="13569" max="13569" width="8.33203125" customWidth="1"/>
    <col min="13570" max="13570" width="41" customWidth="1"/>
    <col min="13571" max="13579" width="32.6640625" customWidth="1"/>
    <col min="13825" max="13825" width="8.33203125" customWidth="1"/>
    <col min="13826" max="13826" width="41" customWidth="1"/>
    <col min="13827" max="13835" width="32.6640625" customWidth="1"/>
    <col min="14081" max="14081" width="8.33203125" customWidth="1"/>
    <col min="14082" max="14082" width="41" customWidth="1"/>
    <col min="14083" max="14091" width="32.6640625" customWidth="1"/>
    <col min="14337" max="14337" width="8.33203125" customWidth="1"/>
    <col min="14338" max="14338" width="41" customWidth="1"/>
    <col min="14339" max="14347" width="32.6640625" customWidth="1"/>
    <col min="14593" max="14593" width="8.33203125" customWidth="1"/>
    <col min="14594" max="14594" width="41" customWidth="1"/>
    <col min="14595" max="14603" width="32.6640625" customWidth="1"/>
    <col min="14849" max="14849" width="8.33203125" customWidth="1"/>
    <col min="14850" max="14850" width="41" customWidth="1"/>
    <col min="14851" max="14859" width="32.6640625" customWidth="1"/>
    <col min="15105" max="15105" width="8.33203125" customWidth="1"/>
    <col min="15106" max="15106" width="41" customWidth="1"/>
    <col min="15107" max="15115" width="32.6640625" customWidth="1"/>
    <col min="15361" max="15361" width="8.33203125" customWidth="1"/>
    <col min="15362" max="15362" width="41" customWidth="1"/>
    <col min="15363" max="15371" width="32.6640625" customWidth="1"/>
    <col min="15617" max="15617" width="8.33203125" customWidth="1"/>
    <col min="15618" max="15618" width="41" customWidth="1"/>
    <col min="15619" max="15627" width="32.6640625" customWidth="1"/>
    <col min="15873" max="15873" width="8.33203125" customWidth="1"/>
    <col min="15874" max="15874" width="41" customWidth="1"/>
    <col min="15875" max="15883" width="32.6640625" customWidth="1"/>
    <col min="16129" max="16129" width="8.33203125" customWidth="1"/>
    <col min="16130" max="16130" width="41" customWidth="1"/>
    <col min="16131" max="16139" width="32.6640625" customWidth="1"/>
  </cols>
  <sheetData>
    <row r="1" spans="1:11" ht="24" customHeight="1" x14ac:dyDescent="0.25">
      <c r="A1" s="1126" t="s">
        <v>1408</v>
      </c>
      <c r="B1" s="1127"/>
      <c r="C1" s="1127"/>
      <c r="D1" s="1127"/>
      <c r="E1" s="1127"/>
      <c r="F1" s="1127"/>
      <c r="G1" s="1127"/>
      <c r="H1" s="1127"/>
      <c r="I1" s="1127"/>
      <c r="J1" s="1127"/>
      <c r="K1" s="1128"/>
    </row>
    <row r="2" spans="1:11" ht="60.6" thickBot="1" x14ac:dyDescent="0.3">
      <c r="A2" s="207"/>
      <c r="B2" s="208" t="s">
        <v>373</v>
      </c>
      <c r="C2" s="208" t="s">
        <v>772</v>
      </c>
      <c r="D2" s="208" t="s">
        <v>773</v>
      </c>
      <c r="E2" s="208" t="s">
        <v>774</v>
      </c>
      <c r="F2" s="208" t="s">
        <v>775</v>
      </c>
      <c r="G2" s="208" t="s">
        <v>776</v>
      </c>
      <c r="H2" s="208" t="s">
        <v>777</v>
      </c>
      <c r="I2" s="208" t="s">
        <v>778</v>
      </c>
      <c r="J2" s="208" t="s">
        <v>779</v>
      </c>
      <c r="K2" s="209" t="s">
        <v>780</v>
      </c>
    </row>
    <row r="3" spans="1:11" ht="15.6" thickBot="1" x14ac:dyDescent="0.3">
      <c r="A3" s="214">
        <v>1</v>
      </c>
      <c r="B3" s="215">
        <v>2</v>
      </c>
      <c r="C3" s="215">
        <v>3</v>
      </c>
      <c r="D3" s="215">
        <v>4</v>
      </c>
      <c r="E3" s="215">
        <v>5</v>
      </c>
      <c r="F3" s="215">
        <v>6</v>
      </c>
      <c r="G3" s="215">
        <v>7</v>
      </c>
      <c r="H3" s="215">
        <v>8</v>
      </c>
      <c r="I3" s="215">
        <v>9</v>
      </c>
      <c r="J3" s="215">
        <v>10</v>
      </c>
      <c r="K3" s="216">
        <v>11</v>
      </c>
    </row>
    <row r="4" spans="1:11" ht="26.4" x14ac:dyDescent="0.25">
      <c r="A4" s="198" t="s">
        <v>522</v>
      </c>
      <c r="B4" s="199" t="s">
        <v>781</v>
      </c>
      <c r="C4" s="200">
        <v>168460116</v>
      </c>
      <c r="D4" s="200">
        <v>0</v>
      </c>
      <c r="E4" s="200">
        <v>0</v>
      </c>
      <c r="F4" s="200">
        <v>168460116</v>
      </c>
      <c r="G4" s="200">
        <v>0</v>
      </c>
      <c r="H4" s="200">
        <v>727329470</v>
      </c>
      <c r="I4" s="200">
        <v>168460116</v>
      </c>
      <c r="J4" s="200">
        <v>0</v>
      </c>
      <c r="K4" s="201">
        <v>0</v>
      </c>
    </row>
    <row r="5" spans="1:11" ht="26.4" x14ac:dyDescent="0.25">
      <c r="A5" s="192" t="s">
        <v>524</v>
      </c>
      <c r="B5" s="181" t="s">
        <v>782</v>
      </c>
      <c r="C5" s="182">
        <v>0</v>
      </c>
      <c r="D5" s="182">
        <v>0</v>
      </c>
      <c r="E5" s="182">
        <v>0</v>
      </c>
      <c r="F5" s="182">
        <v>0</v>
      </c>
      <c r="G5" s="182">
        <v>0</v>
      </c>
      <c r="H5" s="182">
        <v>0</v>
      </c>
      <c r="I5" s="182">
        <v>0</v>
      </c>
      <c r="J5" s="182">
        <v>0</v>
      </c>
      <c r="K5" s="193">
        <v>0</v>
      </c>
    </row>
    <row r="6" spans="1:11" ht="26.4" x14ac:dyDescent="0.25">
      <c r="A6" s="192" t="s">
        <v>526</v>
      </c>
      <c r="B6" s="181" t="s">
        <v>783</v>
      </c>
      <c r="C6" s="182">
        <v>0</v>
      </c>
      <c r="D6" s="182">
        <v>0</v>
      </c>
      <c r="E6" s="182">
        <v>0</v>
      </c>
      <c r="F6" s="182">
        <v>0</v>
      </c>
      <c r="G6" s="182">
        <v>0</v>
      </c>
      <c r="H6" s="182">
        <v>190374071</v>
      </c>
      <c r="I6" s="182">
        <v>0</v>
      </c>
      <c r="J6" s="182">
        <v>0</v>
      </c>
      <c r="K6" s="193">
        <v>0</v>
      </c>
    </row>
    <row r="7" spans="1:11" ht="26.4" x14ac:dyDescent="0.25">
      <c r="A7" s="192" t="s">
        <v>528</v>
      </c>
      <c r="B7" s="181" t="s">
        <v>784</v>
      </c>
      <c r="C7" s="182">
        <v>0</v>
      </c>
      <c r="D7" s="182">
        <v>0</v>
      </c>
      <c r="E7" s="182">
        <v>0</v>
      </c>
      <c r="F7" s="182">
        <v>0</v>
      </c>
      <c r="G7" s="182">
        <v>0</v>
      </c>
      <c r="H7" s="182">
        <v>0</v>
      </c>
      <c r="I7" s="182">
        <v>0</v>
      </c>
      <c r="J7" s="182">
        <v>0</v>
      </c>
      <c r="K7" s="193">
        <v>0</v>
      </c>
    </row>
    <row r="8" spans="1:11" ht="39.6" x14ac:dyDescent="0.25">
      <c r="A8" s="192" t="s">
        <v>530</v>
      </c>
      <c r="B8" s="181" t="s">
        <v>785</v>
      </c>
      <c r="C8" s="182">
        <v>184103951</v>
      </c>
      <c r="D8" s="182">
        <v>995267</v>
      </c>
      <c r="E8" s="182">
        <v>1625266</v>
      </c>
      <c r="F8" s="182">
        <v>188469818</v>
      </c>
      <c r="G8" s="182">
        <v>1745334</v>
      </c>
      <c r="H8" s="182">
        <v>259742584</v>
      </c>
      <c r="I8" s="182">
        <v>188469818</v>
      </c>
      <c r="J8" s="182">
        <v>1745334</v>
      </c>
      <c r="K8" s="193">
        <v>0</v>
      </c>
    </row>
    <row r="9" spans="1:11" ht="26.4" x14ac:dyDescent="0.25">
      <c r="A9" s="192" t="s">
        <v>532</v>
      </c>
      <c r="B9" s="181" t="s">
        <v>786</v>
      </c>
      <c r="C9" s="182">
        <v>14709000</v>
      </c>
      <c r="D9" s="182">
        <v>712360</v>
      </c>
      <c r="E9" s="182">
        <v>-550160</v>
      </c>
      <c r="F9" s="182">
        <v>14760480</v>
      </c>
      <c r="G9" s="182">
        <v>-110720</v>
      </c>
      <c r="H9" s="182">
        <v>32038641</v>
      </c>
      <c r="I9" s="182">
        <v>14760480</v>
      </c>
      <c r="J9" s="182">
        <v>0</v>
      </c>
      <c r="K9" s="193">
        <v>110720</v>
      </c>
    </row>
    <row r="10" spans="1:11" ht="52.8" x14ac:dyDescent="0.25">
      <c r="A10" s="192" t="s">
        <v>534</v>
      </c>
      <c r="B10" s="181" t="s">
        <v>787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93">
        <v>0</v>
      </c>
    </row>
    <row r="11" spans="1:11" ht="26.4" x14ac:dyDescent="0.25">
      <c r="A11" s="192" t="s">
        <v>536</v>
      </c>
      <c r="B11" s="181" t="s">
        <v>788</v>
      </c>
      <c r="C11" s="182">
        <v>56958783</v>
      </c>
      <c r="D11" s="182">
        <v>6680493</v>
      </c>
      <c r="E11" s="182">
        <v>-2879428</v>
      </c>
      <c r="F11" s="182">
        <v>61747848</v>
      </c>
      <c r="G11" s="182">
        <v>988000</v>
      </c>
      <c r="H11" s="182">
        <v>68685559</v>
      </c>
      <c r="I11" s="182">
        <v>61747848</v>
      </c>
      <c r="J11" s="182">
        <v>988000</v>
      </c>
      <c r="K11" s="193">
        <v>0</v>
      </c>
    </row>
    <row r="12" spans="1:11" ht="26.4" x14ac:dyDescent="0.25">
      <c r="A12" s="192" t="s">
        <v>538</v>
      </c>
      <c r="B12" s="181" t="s">
        <v>789</v>
      </c>
      <c r="C12" s="182">
        <v>933090</v>
      </c>
      <c r="D12" s="182">
        <v>578550</v>
      </c>
      <c r="E12" s="182">
        <v>-252510</v>
      </c>
      <c r="F12" s="182">
        <v>1214670</v>
      </c>
      <c r="G12" s="182">
        <v>-44460</v>
      </c>
      <c r="H12" s="182">
        <v>1233284</v>
      </c>
      <c r="I12" s="182">
        <v>1214670</v>
      </c>
      <c r="J12" s="182">
        <v>0</v>
      </c>
      <c r="K12" s="193">
        <v>44460</v>
      </c>
    </row>
    <row r="13" spans="1:11" ht="27" thickBot="1" x14ac:dyDescent="0.3">
      <c r="A13" s="196" t="s">
        <v>540</v>
      </c>
      <c r="B13" s="185" t="s">
        <v>790</v>
      </c>
      <c r="C13" s="186">
        <v>37548000</v>
      </c>
      <c r="D13" s="186">
        <v>1607000</v>
      </c>
      <c r="E13" s="186">
        <v>-6041000</v>
      </c>
      <c r="F13" s="186">
        <v>33114000</v>
      </c>
      <c r="G13" s="186">
        <v>0</v>
      </c>
      <c r="H13" s="186">
        <v>42899077</v>
      </c>
      <c r="I13" s="186">
        <v>33114000</v>
      </c>
      <c r="J13" s="186">
        <v>0</v>
      </c>
      <c r="K13" s="197">
        <v>0</v>
      </c>
    </row>
    <row r="14" spans="1:11" ht="13.8" thickBot="1" x14ac:dyDescent="0.3">
      <c r="A14" s="210" t="s">
        <v>542</v>
      </c>
      <c r="B14" s="211" t="s">
        <v>791</v>
      </c>
      <c r="C14" s="212">
        <v>462712940</v>
      </c>
      <c r="D14" s="212">
        <v>10573670</v>
      </c>
      <c r="E14" s="212">
        <v>-8097832</v>
      </c>
      <c r="F14" s="212">
        <v>467766932</v>
      </c>
      <c r="G14" s="212">
        <v>2578154</v>
      </c>
      <c r="H14" s="212">
        <v>1322302686</v>
      </c>
      <c r="I14" s="212">
        <v>467766932</v>
      </c>
      <c r="J14" s="212">
        <v>2733334</v>
      </c>
      <c r="K14" s="213">
        <v>155180</v>
      </c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B1" workbookViewId="0">
      <selection activeCell="B2" sqref="B2"/>
    </sheetView>
  </sheetViews>
  <sheetFormatPr defaultRowHeight="13.2" x14ac:dyDescent="0.25"/>
  <cols>
    <col min="1" max="1" width="8.33203125" customWidth="1"/>
    <col min="2" max="2" width="41" customWidth="1"/>
    <col min="3" max="5" width="32.6640625" customWidth="1"/>
    <col min="257" max="257" width="8.33203125" customWidth="1"/>
    <col min="258" max="258" width="41" customWidth="1"/>
    <col min="259" max="261" width="32.6640625" customWidth="1"/>
    <col min="513" max="513" width="8.33203125" customWidth="1"/>
    <col min="514" max="514" width="41" customWidth="1"/>
    <col min="515" max="517" width="32.6640625" customWidth="1"/>
    <col min="769" max="769" width="8.33203125" customWidth="1"/>
    <col min="770" max="770" width="41" customWidth="1"/>
    <col min="771" max="773" width="32.6640625" customWidth="1"/>
    <col min="1025" max="1025" width="8.33203125" customWidth="1"/>
    <col min="1026" max="1026" width="41" customWidth="1"/>
    <col min="1027" max="1029" width="32.6640625" customWidth="1"/>
    <col min="1281" max="1281" width="8.33203125" customWidth="1"/>
    <col min="1282" max="1282" width="41" customWidth="1"/>
    <col min="1283" max="1285" width="32.6640625" customWidth="1"/>
    <col min="1537" max="1537" width="8.33203125" customWidth="1"/>
    <col min="1538" max="1538" width="41" customWidth="1"/>
    <col min="1539" max="1541" width="32.6640625" customWidth="1"/>
    <col min="1793" max="1793" width="8.33203125" customWidth="1"/>
    <col min="1794" max="1794" width="41" customWidth="1"/>
    <col min="1795" max="1797" width="32.6640625" customWidth="1"/>
    <col min="2049" max="2049" width="8.33203125" customWidth="1"/>
    <col min="2050" max="2050" width="41" customWidth="1"/>
    <col min="2051" max="2053" width="32.6640625" customWidth="1"/>
    <col min="2305" max="2305" width="8.33203125" customWidth="1"/>
    <col min="2306" max="2306" width="41" customWidth="1"/>
    <col min="2307" max="2309" width="32.6640625" customWidth="1"/>
    <col min="2561" max="2561" width="8.33203125" customWidth="1"/>
    <col min="2562" max="2562" width="41" customWidth="1"/>
    <col min="2563" max="2565" width="32.6640625" customWidth="1"/>
    <col min="2817" max="2817" width="8.33203125" customWidth="1"/>
    <col min="2818" max="2818" width="41" customWidth="1"/>
    <col min="2819" max="2821" width="32.6640625" customWidth="1"/>
    <col min="3073" max="3073" width="8.33203125" customWidth="1"/>
    <col min="3074" max="3074" width="41" customWidth="1"/>
    <col min="3075" max="3077" width="32.6640625" customWidth="1"/>
    <col min="3329" max="3329" width="8.33203125" customWidth="1"/>
    <col min="3330" max="3330" width="41" customWidth="1"/>
    <col min="3331" max="3333" width="32.6640625" customWidth="1"/>
    <col min="3585" max="3585" width="8.33203125" customWidth="1"/>
    <col min="3586" max="3586" width="41" customWidth="1"/>
    <col min="3587" max="3589" width="32.6640625" customWidth="1"/>
    <col min="3841" max="3841" width="8.33203125" customWidth="1"/>
    <col min="3842" max="3842" width="41" customWidth="1"/>
    <col min="3843" max="3845" width="32.6640625" customWidth="1"/>
    <col min="4097" max="4097" width="8.33203125" customWidth="1"/>
    <col min="4098" max="4098" width="41" customWidth="1"/>
    <col min="4099" max="4101" width="32.6640625" customWidth="1"/>
    <col min="4353" max="4353" width="8.33203125" customWidth="1"/>
    <col min="4354" max="4354" width="41" customWidth="1"/>
    <col min="4355" max="4357" width="32.6640625" customWidth="1"/>
    <col min="4609" max="4609" width="8.33203125" customWidth="1"/>
    <col min="4610" max="4610" width="41" customWidth="1"/>
    <col min="4611" max="4613" width="32.6640625" customWidth="1"/>
    <col min="4865" max="4865" width="8.33203125" customWidth="1"/>
    <col min="4866" max="4866" width="41" customWidth="1"/>
    <col min="4867" max="4869" width="32.6640625" customWidth="1"/>
    <col min="5121" max="5121" width="8.33203125" customWidth="1"/>
    <col min="5122" max="5122" width="41" customWidth="1"/>
    <col min="5123" max="5125" width="32.6640625" customWidth="1"/>
    <col min="5377" max="5377" width="8.33203125" customWidth="1"/>
    <col min="5378" max="5378" width="41" customWidth="1"/>
    <col min="5379" max="5381" width="32.6640625" customWidth="1"/>
    <col min="5633" max="5633" width="8.33203125" customWidth="1"/>
    <col min="5634" max="5634" width="41" customWidth="1"/>
    <col min="5635" max="5637" width="32.6640625" customWidth="1"/>
    <col min="5889" max="5889" width="8.33203125" customWidth="1"/>
    <col min="5890" max="5890" width="41" customWidth="1"/>
    <col min="5891" max="5893" width="32.6640625" customWidth="1"/>
    <col min="6145" max="6145" width="8.33203125" customWidth="1"/>
    <col min="6146" max="6146" width="41" customWidth="1"/>
    <col min="6147" max="6149" width="32.6640625" customWidth="1"/>
    <col min="6401" max="6401" width="8.33203125" customWidth="1"/>
    <col min="6402" max="6402" width="41" customWidth="1"/>
    <col min="6403" max="6405" width="32.6640625" customWidth="1"/>
    <col min="6657" max="6657" width="8.33203125" customWidth="1"/>
    <col min="6658" max="6658" width="41" customWidth="1"/>
    <col min="6659" max="6661" width="32.6640625" customWidth="1"/>
    <col min="6913" max="6913" width="8.33203125" customWidth="1"/>
    <col min="6914" max="6914" width="41" customWidth="1"/>
    <col min="6915" max="6917" width="32.6640625" customWidth="1"/>
    <col min="7169" max="7169" width="8.33203125" customWidth="1"/>
    <col min="7170" max="7170" width="41" customWidth="1"/>
    <col min="7171" max="7173" width="32.6640625" customWidth="1"/>
    <col min="7425" max="7425" width="8.33203125" customWidth="1"/>
    <col min="7426" max="7426" width="41" customWidth="1"/>
    <col min="7427" max="7429" width="32.6640625" customWidth="1"/>
    <col min="7681" max="7681" width="8.33203125" customWidth="1"/>
    <col min="7682" max="7682" width="41" customWidth="1"/>
    <col min="7683" max="7685" width="32.6640625" customWidth="1"/>
    <col min="7937" max="7937" width="8.33203125" customWidth="1"/>
    <col min="7938" max="7938" width="41" customWidth="1"/>
    <col min="7939" max="7941" width="32.6640625" customWidth="1"/>
    <col min="8193" max="8193" width="8.33203125" customWidth="1"/>
    <col min="8194" max="8194" width="41" customWidth="1"/>
    <col min="8195" max="8197" width="32.6640625" customWidth="1"/>
    <col min="8449" max="8449" width="8.33203125" customWidth="1"/>
    <col min="8450" max="8450" width="41" customWidth="1"/>
    <col min="8451" max="8453" width="32.6640625" customWidth="1"/>
    <col min="8705" max="8705" width="8.33203125" customWidth="1"/>
    <col min="8706" max="8706" width="41" customWidth="1"/>
    <col min="8707" max="8709" width="32.6640625" customWidth="1"/>
    <col min="8961" max="8961" width="8.33203125" customWidth="1"/>
    <col min="8962" max="8962" width="41" customWidth="1"/>
    <col min="8963" max="8965" width="32.6640625" customWidth="1"/>
    <col min="9217" max="9217" width="8.33203125" customWidth="1"/>
    <col min="9218" max="9218" width="41" customWidth="1"/>
    <col min="9219" max="9221" width="32.6640625" customWidth="1"/>
    <col min="9473" max="9473" width="8.33203125" customWidth="1"/>
    <col min="9474" max="9474" width="41" customWidth="1"/>
    <col min="9475" max="9477" width="32.6640625" customWidth="1"/>
    <col min="9729" max="9729" width="8.33203125" customWidth="1"/>
    <col min="9730" max="9730" width="41" customWidth="1"/>
    <col min="9731" max="9733" width="32.6640625" customWidth="1"/>
    <col min="9985" max="9985" width="8.33203125" customWidth="1"/>
    <col min="9986" max="9986" width="41" customWidth="1"/>
    <col min="9987" max="9989" width="32.6640625" customWidth="1"/>
    <col min="10241" max="10241" width="8.33203125" customWidth="1"/>
    <col min="10242" max="10242" width="41" customWidth="1"/>
    <col min="10243" max="10245" width="32.6640625" customWidth="1"/>
    <col min="10497" max="10497" width="8.33203125" customWidth="1"/>
    <col min="10498" max="10498" width="41" customWidth="1"/>
    <col min="10499" max="10501" width="32.6640625" customWidth="1"/>
    <col min="10753" max="10753" width="8.33203125" customWidth="1"/>
    <col min="10754" max="10754" width="41" customWidth="1"/>
    <col min="10755" max="10757" width="32.6640625" customWidth="1"/>
    <col min="11009" max="11009" width="8.33203125" customWidth="1"/>
    <col min="11010" max="11010" width="41" customWidth="1"/>
    <col min="11011" max="11013" width="32.6640625" customWidth="1"/>
    <col min="11265" max="11265" width="8.33203125" customWidth="1"/>
    <col min="11266" max="11266" width="41" customWidth="1"/>
    <col min="11267" max="11269" width="32.6640625" customWidth="1"/>
    <col min="11521" max="11521" width="8.33203125" customWidth="1"/>
    <col min="11522" max="11522" width="41" customWidth="1"/>
    <col min="11523" max="11525" width="32.6640625" customWidth="1"/>
    <col min="11777" max="11777" width="8.33203125" customWidth="1"/>
    <col min="11778" max="11778" width="41" customWidth="1"/>
    <col min="11779" max="11781" width="32.6640625" customWidth="1"/>
    <col min="12033" max="12033" width="8.33203125" customWidth="1"/>
    <col min="12034" max="12034" width="41" customWidth="1"/>
    <col min="12035" max="12037" width="32.6640625" customWidth="1"/>
    <col min="12289" max="12289" width="8.33203125" customWidth="1"/>
    <col min="12290" max="12290" width="41" customWidth="1"/>
    <col min="12291" max="12293" width="32.6640625" customWidth="1"/>
    <col min="12545" max="12545" width="8.33203125" customWidth="1"/>
    <col min="12546" max="12546" width="41" customWidth="1"/>
    <col min="12547" max="12549" width="32.6640625" customWidth="1"/>
    <col min="12801" max="12801" width="8.33203125" customWidth="1"/>
    <col min="12802" max="12802" width="41" customWidth="1"/>
    <col min="12803" max="12805" width="32.6640625" customWidth="1"/>
    <col min="13057" max="13057" width="8.33203125" customWidth="1"/>
    <col min="13058" max="13058" width="41" customWidth="1"/>
    <col min="13059" max="13061" width="32.6640625" customWidth="1"/>
    <col min="13313" max="13313" width="8.33203125" customWidth="1"/>
    <col min="13314" max="13314" width="41" customWidth="1"/>
    <col min="13315" max="13317" width="32.6640625" customWidth="1"/>
    <col min="13569" max="13569" width="8.33203125" customWidth="1"/>
    <col min="13570" max="13570" width="41" customWidth="1"/>
    <col min="13571" max="13573" width="32.6640625" customWidth="1"/>
    <col min="13825" max="13825" width="8.33203125" customWidth="1"/>
    <col min="13826" max="13826" width="41" customWidth="1"/>
    <col min="13827" max="13829" width="32.6640625" customWidth="1"/>
    <col min="14081" max="14081" width="8.33203125" customWidth="1"/>
    <col min="14082" max="14082" width="41" customWidth="1"/>
    <col min="14083" max="14085" width="32.6640625" customWidth="1"/>
    <col min="14337" max="14337" width="8.33203125" customWidth="1"/>
    <col min="14338" max="14338" width="41" customWidth="1"/>
    <col min="14339" max="14341" width="32.6640625" customWidth="1"/>
    <col min="14593" max="14593" width="8.33203125" customWidth="1"/>
    <col min="14594" max="14594" width="41" customWidth="1"/>
    <col min="14595" max="14597" width="32.6640625" customWidth="1"/>
    <col min="14849" max="14849" width="8.33203125" customWidth="1"/>
    <col min="14850" max="14850" width="41" customWidth="1"/>
    <col min="14851" max="14853" width="32.6640625" customWidth="1"/>
    <col min="15105" max="15105" width="8.33203125" customWidth="1"/>
    <col min="15106" max="15106" width="41" customWidth="1"/>
    <col min="15107" max="15109" width="32.6640625" customWidth="1"/>
    <col min="15361" max="15361" width="8.33203125" customWidth="1"/>
    <col min="15362" max="15362" width="41" customWidth="1"/>
    <col min="15363" max="15365" width="32.6640625" customWidth="1"/>
    <col min="15617" max="15617" width="8.33203125" customWidth="1"/>
    <col min="15618" max="15618" width="41" customWidth="1"/>
    <col min="15619" max="15621" width="32.6640625" customWidth="1"/>
    <col min="15873" max="15873" width="8.33203125" customWidth="1"/>
    <col min="15874" max="15874" width="41" customWidth="1"/>
    <col min="15875" max="15877" width="32.6640625" customWidth="1"/>
    <col min="16129" max="16129" width="8.33203125" customWidth="1"/>
    <col min="16130" max="16130" width="41" customWidth="1"/>
    <col min="16131" max="16133" width="32.6640625" customWidth="1"/>
  </cols>
  <sheetData>
    <row r="1" spans="1:5" ht="24.6" customHeight="1" thickBot="1" x14ac:dyDescent="0.3">
      <c r="A1" s="1129" t="s">
        <v>1170</v>
      </c>
      <c r="B1" s="1130"/>
      <c r="C1" s="1130"/>
      <c r="D1" s="1130"/>
      <c r="E1" s="1131"/>
    </row>
    <row r="2" spans="1:5" ht="21" customHeight="1" x14ac:dyDescent="0.25">
      <c r="A2" s="238"/>
      <c r="B2" s="239" t="s">
        <v>373</v>
      </c>
      <c r="C2" s="239" t="s">
        <v>792</v>
      </c>
      <c r="D2" s="239" t="s">
        <v>793</v>
      </c>
      <c r="E2" s="240" t="s">
        <v>794</v>
      </c>
    </row>
    <row r="3" spans="1:5" ht="24.6" customHeight="1" thickBot="1" x14ac:dyDescent="0.3">
      <c r="A3" s="241">
        <v>1</v>
      </c>
      <c r="B3" s="242">
        <v>2</v>
      </c>
      <c r="C3" s="242">
        <v>3</v>
      </c>
      <c r="D3" s="242">
        <v>4</v>
      </c>
      <c r="E3" s="243">
        <v>5</v>
      </c>
    </row>
    <row r="4" spans="1:5" x14ac:dyDescent="0.25">
      <c r="A4" s="228" t="s">
        <v>522</v>
      </c>
      <c r="B4" s="229" t="s">
        <v>795</v>
      </c>
      <c r="C4" s="230">
        <v>404180</v>
      </c>
      <c r="D4" s="230">
        <v>0</v>
      </c>
      <c r="E4" s="231">
        <v>0</v>
      </c>
    </row>
    <row r="5" spans="1:5" x14ac:dyDescent="0.25">
      <c r="A5" s="221" t="s">
        <v>524</v>
      </c>
      <c r="B5" s="217" t="s">
        <v>796</v>
      </c>
      <c r="C5" s="218">
        <v>1632000</v>
      </c>
      <c r="D5" s="218">
        <v>0</v>
      </c>
      <c r="E5" s="222">
        <v>2059760</v>
      </c>
    </row>
    <row r="6" spans="1:5" x14ac:dyDescent="0.25">
      <c r="A6" s="223" t="s">
        <v>528</v>
      </c>
      <c r="B6" s="219" t="s">
        <v>798</v>
      </c>
      <c r="C6" s="220">
        <v>2036180</v>
      </c>
      <c r="D6" s="220">
        <v>0</v>
      </c>
      <c r="E6" s="224">
        <v>2059760</v>
      </c>
    </row>
    <row r="7" spans="1:5" ht="26.4" x14ac:dyDescent="0.25">
      <c r="A7" s="221" t="s">
        <v>530</v>
      </c>
      <c r="B7" s="217" t="s">
        <v>799</v>
      </c>
      <c r="C7" s="218">
        <v>6059187189</v>
      </c>
      <c r="D7" s="218">
        <v>0</v>
      </c>
      <c r="E7" s="222">
        <v>6171845127</v>
      </c>
    </row>
    <row r="8" spans="1:5" ht="26.4" x14ac:dyDescent="0.25">
      <c r="A8" s="221" t="s">
        <v>532</v>
      </c>
      <c r="B8" s="217" t="s">
        <v>800</v>
      </c>
      <c r="C8" s="218">
        <v>236328536</v>
      </c>
      <c r="D8" s="218">
        <v>0</v>
      </c>
      <c r="E8" s="222">
        <v>184135926</v>
      </c>
    </row>
    <row r="9" spans="1:5" x14ac:dyDescent="0.25">
      <c r="A9" s="221" t="s">
        <v>536</v>
      </c>
      <c r="B9" s="217" t="s">
        <v>802</v>
      </c>
      <c r="C9" s="218">
        <v>124776518</v>
      </c>
      <c r="D9" s="218">
        <v>0</v>
      </c>
      <c r="E9" s="222">
        <v>67450829</v>
      </c>
    </row>
    <row r="10" spans="1:5" x14ac:dyDescent="0.25">
      <c r="A10" s="223" t="s">
        <v>540</v>
      </c>
      <c r="B10" s="219" t="s">
        <v>804</v>
      </c>
      <c r="C10" s="220">
        <v>6420292243</v>
      </c>
      <c r="D10" s="220">
        <v>0</v>
      </c>
      <c r="E10" s="224">
        <v>6423431882</v>
      </c>
    </row>
    <row r="11" spans="1:5" ht="26.4" x14ac:dyDescent="0.25">
      <c r="A11" s="221" t="s">
        <v>542</v>
      </c>
      <c r="B11" s="217" t="s">
        <v>805</v>
      </c>
      <c r="C11" s="218">
        <v>17563795</v>
      </c>
      <c r="D11" s="218">
        <v>0</v>
      </c>
      <c r="E11" s="222">
        <v>17679040</v>
      </c>
    </row>
    <row r="12" spans="1:5" x14ac:dyDescent="0.25">
      <c r="A12" s="221" t="s">
        <v>552</v>
      </c>
      <c r="B12" s="217" t="s">
        <v>810</v>
      </c>
      <c r="C12" s="218">
        <v>17563795</v>
      </c>
      <c r="D12" s="218">
        <v>0</v>
      </c>
      <c r="E12" s="222">
        <v>17679040</v>
      </c>
    </row>
    <row r="13" spans="1:5" ht="26.4" x14ac:dyDescent="0.25">
      <c r="A13" s="223" t="s">
        <v>562</v>
      </c>
      <c r="B13" s="219" t="s">
        <v>815</v>
      </c>
      <c r="C13" s="220">
        <v>17563795</v>
      </c>
      <c r="D13" s="220">
        <v>0</v>
      </c>
      <c r="E13" s="224">
        <v>17679040</v>
      </c>
    </row>
    <row r="14" spans="1:5" ht="39.6" x14ac:dyDescent="0.25">
      <c r="A14" s="223" t="s">
        <v>576</v>
      </c>
      <c r="B14" s="219" t="s">
        <v>822</v>
      </c>
      <c r="C14" s="220">
        <v>6439892218</v>
      </c>
      <c r="D14" s="220">
        <v>0</v>
      </c>
      <c r="E14" s="224">
        <v>6443170682</v>
      </c>
    </row>
    <row r="15" spans="1:5" x14ac:dyDescent="0.25">
      <c r="A15" s="221" t="s">
        <v>578</v>
      </c>
      <c r="B15" s="217" t="s">
        <v>823</v>
      </c>
      <c r="C15" s="218">
        <v>169603939</v>
      </c>
      <c r="D15" s="218">
        <v>0</v>
      </c>
      <c r="E15" s="222">
        <v>169603939</v>
      </c>
    </row>
    <row r="16" spans="1:5" ht="26.4" x14ac:dyDescent="0.25">
      <c r="A16" s="221" t="s">
        <v>584</v>
      </c>
      <c r="B16" s="217" t="s">
        <v>826</v>
      </c>
      <c r="C16" s="218">
        <v>6159325</v>
      </c>
      <c r="D16" s="218">
        <v>0</v>
      </c>
      <c r="E16" s="222">
        <v>5980139</v>
      </c>
    </row>
    <row r="17" spans="1:5" x14ac:dyDescent="0.25">
      <c r="A17" s="223" t="s">
        <v>588</v>
      </c>
      <c r="B17" s="219" t="s">
        <v>828</v>
      </c>
      <c r="C17" s="220">
        <v>175763264</v>
      </c>
      <c r="D17" s="220">
        <v>0</v>
      </c>
      <c r="E17" s="224">
        <v>175584078</v>
      </c>
    </row>
    <row r="18" spans="1:5" ht="26.4" x14ac:dyDescent="0.25">
      <c r="A18" s="223" t="s">
        <v>606</v>
      </c>
      <c r="B18" s="219" t="s">
        <v>837</v>
      </c>
      <c r="C18" s="220">
        <v>175763264</v>
      </c>
      <c r="D18" s="220">
        <v>0</v>
      </c>
      <c r="E18" s="224">
        <v>175584078</v>
      </c>
    </row>
    <row r="19" spans="1:5" x14ac:dyDescent="0.25">
      <c r="A19" s="221" t="s">
        <v>614</v>
      </c>
      <c r="B19" s="217" t="s">
        <v>841</v>
      </c>
      <c r="C19" s="218">
        <v>909140</v>
      </c>
      <c r="D19" s="218">
        <v>0</v>
      </c>
      <c r="E19" s="222">
        <v>619720</v>
      </c>
    </row>
    <row r="20" spans="1:5" ht="26.4" x14ac:dyDescent="0.25">
      <c r="A20" s="223" t="s">
        <v>620</v>
      </c>
      <c r="B20" s="219" t="s">
        <v>844</v>
      </c>
      <c r="C20" s="220">
        <v>909140</v>
      </c>
      <c r="D20" s="220">
        <v>0</v>
      </c>
      <c r="E20" s="224">
        <v>619720</v>
      </c>
    </row>
    <row r="21" spans="1:5" x14ac:dyDescent="0.25">
      <c r="A21" s="221" t="s">
        <v>622</v>
      </c>
      <c r="B21" s="217" t="s">
        <v>845</v>
      </c>
      <c r="C21" s="218">
        <v>498542416</v>
      </c>
      <c r="D21" s="218">
        <v>0</v>
      </c>
      <c r="E21" s="222">
        <v>183014518</v>
      </c>
    </row>
    <row r="22" spans="1:5" x14ac:dyDescent="0.25">
      <c r="A22" s="221" t="s">
        <v>624</v>
      </c>
      <c r="B22" s="217" t="s">
        <v>846</v>
      </c>
      <c r="C22" s="218">
        <v>0</v>
      </c>
      <c r="D22" s="218">
        <v>0</v>
      </c>
      <c r="E22" s="222">
        <v>299624307</v>
      </c>
    </row>
    <row r="23" spans="1:5" x14ac:dyDescent="0.25">
      <c r="A23" s="223" t="s">
        <v>626</v>
      </c>
      <c r="B23" s="219" t="s">
        <v>847</v>
      </c>
      <c r="C23" s="220">
        <v>498542416</v>
      </c>
      <c r="D23" s="220">
        <v>0</v>
      </c>
      <c r="E23" s="224">
        <v>482638825</v>
      </c>
    </row>
    <row r="24" spans="1:5" x14ac:dyDescent="0.25">
      <c r="A24" s="223" t="s">
        <v>634</v>
      </c>
      <c r="B24" s="219" t="s">
        <v>851</v>
      </c>
      <c r="C24" s="220">
        <v>499451556</v>
      </c>
      <c r="D24" s="220">
        <v>0</v>
      </c>
      <c r="E24" s="224">
        <v>483258545</v>
      </c>
    </row>
    <row r="25" spans="1:5" ht="39.6" x14ac:dyDescent="0.25">
      <c r="A25" s="221" t="s">
        <v>636</v>
      </c>
      <c r="B25" s="217" t="s">
        <v>852</v>
      </c>
      <c r="C25" s="218">
        <v>614967</v>
      </c>
      <c r="D25" s="218">
        <v>0</v>
      </c>
      <c r="E25" s="222">
        <v>0</v>
      </c>
    </row>
    <row r="26" spans="1:5" ht="26.4" x14ac:dyDescent="0.25">
      <c r="A26" s="221" t="s">
        <v>644</v>
      </c>
      <c r="B26" s="217" t="s">
        <v>856</v>
      </c>
      <c r="C26" s="218">
        <v>19878368</v>
      </c>
      <c r="D26" s="218">
        <v>0</v>
      </c>
      <c r="E26" s="222">
        <v>13779768</v>
      </c>
    </row>
    <row r="27" spans="1:5" ht="26.4" x14ac:dyDescent="0.25">
      <c r="A27" s="221" t="s">
        <v>652</v>
      </c>
      <c r="B27" s="217" t="s">
        <v>860</v>
      </c>
      <c r="C27" s="218">
        <v>2860340</v>
      </c>
      <c r="D27" s="218">
        <v>0</v>
      </c>
      <c r="E27" s="222">
        <v>2997065</v>
      </c>
    </row>
    <row r="28" spans="1:5" ht="26.4" x14ac:dyDescent="0.25">
      <c r="A28" s="221" t="s">
        <v>654</v>
      </c>
      <c r="B28" s="217" t="s">
        <v>861</v>
      </c>
      <c r="C28" s="218">
        <v>12349881</v>
      </c>
      <c r="D28" s="218">
        <v>0</v>
      </c>
      <c r="E28" s="222">
        <v>7744627</v>
      </c>
    </row>
    <row r="29" spans="1:5" ht="26.4" x14ac:dyDescent="0.25">
      <c r="A29" s="221" t="s">
        <v>656</v>
      </c>
      <c r="B29" s="217" t="s">
        <v>862</v>
      </c>
      <c r="C29" s="218">
        <v>4668147</v>
      </c>
      <c r="D29" s="218">
        <v>0</v>
      </c>
      <c r="E29" s="222">
        <v>3038076</v>
      </c>
    </row>
    <row r="30" spans="1:5" ht="26.4" x14ac:dyDescent="0.25">
      <c r="A30" s="221" t="s">
        <v>658</v>
      </c>
      <c r="B30" s="217" t="s">
        <v>863</v>
      </c>
      <c r="C30" s="218">
        <v>21110262</v>
      </c>
      <c r="D30" s="218">
        <v>0</v>
      </c>
      <c r="E30" s="222">
        <v>81331159</v>
      </c>
    </row>
    <row r="31" spans="1:5" ht="52.8" x14ac:dyDescent="0.25">
      <c r="A31" s="221" t="s">
        <v>660</v>
      </c>
      <c r="B31" s="217" t="s">
        <v>864</v>
      </c>
      <c r="C31" s="218">
        <v>15621726</v>
      </c>
      <c r="D31" s="218">
        <v>0</v>
      </c>
      <c r="E31" s="222">
        <v>25508987</v>
      </c>
    </row>
    <row r="32" spans="1:5" ht="26.4" x14ac:dyDescent="0.25">
      <c r="A32" s="221" t="s">
        <v>666</v>
      </c>
      <c r="B32" s="217" t="s">
        <v>867</v>
      </c>
      <c r="C32" s="218">
        <v>5481957</v>
      </c>
      <c r="D32" s="218">
        <v>0</v>
      </c>
      <c r="E32" s="222">
        <v>5815593</v>
      </c>
    </row>
    <row r="33" spans="1:5" ht="26.4" x14ac:dyDescent="0.25">
      <c r="A33" s="221" t="s">
        <v>676</v>
      </c>
      <c r="B33" s="217" t="s">
        <v>872</v>
      </c>
      <c r="C33" s="218">
        <v>6579</v>
      </c>
      <c r="D33" s="218">
        <v>0</v>
      </c>
      <c r="E33" s="222">
        <v>50006579</v>
      </c>
    </row>
    <row r="34" spans="1:5" ht="26.4" x14ac:dyDescent="0.25">
      <c r="A34" s="221" t="s">
        <v>678</v>
      </c>
      <c r="B34" s="217" t="s">
        <v>873</v>
      </c>
      <c r="C34" s="218">
        <v>18071924</v>
      </c>
      <c r="D34" s="218">
        <v>0</v>
      </c>
      <c r="E34" s="222">
        <v>7217628</v>
      </c>
    </row>
    <row r="35" spans="1:5" ht="26.4" x14ac:dyDescent="0.25">
      <c r="A35" s="221" t="s">
        <v>682</v>
      </c>
      <c r="B35" s="217" t="s">
        <v>875</v>
      </c>
      <c r="C35" s="218">
        <v>18071924</v>
      </c>
      <c r="D35" s="218">
        <v>0</v>
      </c>
      <c r="E35" s="222">
        <v>7217628</v>
      </c>
    </row>
    <row r="36" spans="1:5" ht="39.6" x14ac:dyDescent="0.25">
      <c r="A36" s="221" t="s">
        <v>690</v>
      </c>
      <c r="B36" s="217" t="s">
        <v>879</v>
      </c>
      <c r="C36" s="218">
        <v>3854082</v>
      </c>
      <c r="D36" s="218">
        <v>0</v>
      </c>
      <c r="E36" s="222">
        <v>3994082</v>
      </c>
    </row>
    <row r="37" spans="1:5" ht="52.8" x14ac:dyDescent="0.25">
      <c r="A37" s="221" t="s">
        <v>696</v>
      </c>
      <c r="B37" s="217" t="s">
        <v>882</v>
      </c>
      <c r="C37" s="218">
        <v>3854082</v>
      </c>
      <c r="D37" s="218">
        <v>0</v>
      </c>
      <c r="E37" s="222">
        <v>3994082</v>
      </c>
    </row>
    <row r="38" spans="1:5" ht="39.6" x14ac:dyDescent="0.25">
      <c r="A38" s="221" t="s">
        <v>698</v>
      </c>
      <c r="B38" s="217" t="s">
        <v>883</v>
      </c>
      <c r="C38" s="218">
        <v>2828000</v>
      </c>
      <c r="D38" s="218">
        <v>0</v>
      </c>
      <c r="E38" s="222">
        <v>3111089</v>
      </c>
    </row>
    <row r="39" spans="1:5" ht="52.8" x14ac:dyDescent="0.25">
      <c r="A39" s="221" t="s">
        <v>704</v>
      </c>
      <c r="B39" s="217" t="s">
        <v>886</v>
      </c>
      <c r="C39" s="218">
        <v>2828000</v>
      </c>
      <c r="D39" s="218">
        <v>0</v>
      </c>
      <c r="E39" s="222">
        <v>3111089</v>
      </c>
    </row>
    <row r="40" spans="1:5" ht="26.4" x14ac:dyDescent="0.25">
      <c r="A40" s="223" t="s">
        <v>722</v>
      </c>
      <c r="B40" s="219" t="s">
        <v>895</v>
      </c>
      <c r="C40" s="220">
        <v>66357603</v>
      </c>
      <c r="D40" s="220">
        <v>0</v>
      </c>
      <c r="E40" s="224">
        <v>109433726</v>
      </c>
    </row>
    <row r="41" spans="1:5" ht="39.6" x14ac:dyDescent="0.25">
      <c r="A41" s="221" t="s">
        <v>732</v>
      </c>
      <c r="B41" s="217" t="s">
        <v>900</v>
      </c>
      <c r="C41" s="218">
        <v>77614288</v>
      </c>
      <c r="D41" s="218">
        <v>0</v>
      </c>
      <c r="E41" s="222">
        <v>82435948</v>
      </c>
    </row>
    <row r="42" spans="1:5" ht="26.4" x14ac:dyDescent="0.25">
      <c r="A42" s="221" t="s">
        <v>740</v>
      </c>
      <c r="B42" s="217" t="s">
        <v>904</v>
      </c>
      <c r="C42" s="218">
        <v>0</v>
      </c>
      <c r="D42" s="218">
        <v>0</v>
      </c>
      <c r="E42" s="222">
        <v>5000</v>
      </c>
    </row>
    <row r="43" spans="1:5" ht="39.6" x14ac:dyDescent="0.25">
      <c r="A43" s="221" t="s">
        <v>742</v>
      </c>
      <c r="B43" s="217" t="s">
        <v>905</v>
      </c>
      <c r="C43" s="218">
        <v>74541288</v>
      </c>
      <c r="D43" s="218">
        <v>0</v>
      </c>
      <c r="E43" s="222">
        <v>82430948</v>
      </c>
    </row>
    <row r="44" spans="1:5" ht="39.6" x14ac:dyDescent="0.25">
      <c r="A44" s="221" t="s">
        <v>744</v>
      </c>
      <c r="B44" s="217" t="s">
        <v>906</v>
      </c>
      <c r="C44" s="218">
        <v>3073000</v>
      </c>
      <c r="D44" s="218">
        <v>0</v>
      </c>
      <c r="E44" s="222">
        <v>0</v>
      </c>
    </row>
    <row r="45" spans="1:5" ht="26.4" x14ac:dyDescent="0.25">
      <c r="A45" s="223" t="s">
        <v>952</v>
      </c>
      <c r="B45" s="219" t="s">
        <v>953</v>
      </c>
      <c r="C45" s="220">
        <v>77614288</v>
      </c>
      <c r="D45" s="220">
        <v>0</v>
      </c>
      <c r="E45" s="224">
        <v>82435948</v>
      </c>
    </row>
    <row r="46" spans="1:5" x14ac:dyDescent="0.25">
      <c r="A46" s="221" t="s">
        <v>954</v>
      </c>
      <c r="B46" s="217" t="s">
        <v>955</v>
      </c>
      <c r="C46" s="218">
        <v>14887852</v>
      </c>
      <c r="D46" s="218">
        <v>0</v>
      </c>
      <c r="E46" s="222">
        <v>7673734</v>
      </c>
    </row>
    <row r="47" spans="1:5" ht="26.4" x14ac:dyDescent="0.25">
      <c r="A47" s="221" t="s">
        <v>964</v>
      </c>
      <c r="B47" s="217" t="s">
        <v>965</v>
      </c>
      <c r="C47" s="218">
        <v>14887852</v>
      </c>
      <c r="D47" s="218">
        <v>0</v>
      </c>
      <c r="E47" s="222">
        <v>7673734</v>
      </c>
    </row>
    <row r="48" spans="1:5" x14ac:dyDescent="0.25">
      <c r="A48" s="221" t="s">
        <v>972</v>
      </c>
      <c r="B48" s="217" t="s">
        <v>973</v>
      </c>
      <c r="C48" s="218">
        <v>74577</v>
      </c>
      <c r="D48" s="218">
        <v>0</v>
      </c>
      <c r="E48" s="222">
        <v>350000</v>
      </c>
    </row>
    <row r="49" spans="1:5" ht="26.4" x14ac:dyDescent="0.25">
      <c r="A49" s="223" t="s">
        <v>984</v>
      </c>
      <c r="B49" s="219" t="s">
        <v>985</v>
      </c>
      <c r="C49" s="220">
        <v>14962429</v>
      </c>
      <c r="D49" s="220">
        <v>0</v>
      </c>
      <c r="E49" s="224">
        <v>8023734</v>
      </c>
    </row>
    <row r="50" spans="1:5" x14ac:dyDescent="0.25">
      <c r="A50" s="223" t="s">
        <v>986</v>
      </c>
      <c r="B50" s="219" t="s">
        <v>987</v>
      </c>
      <c r="C50" s="220">
        <v>158934320</v>
      </c>
      <c r="D50" s="220">
        <v>0</v>
      </c>
      <c r="E50" s="224">
        <v>199893408</v>
      </c>
    </row>
    <row r="51" spans="1:5" ht="26.4" x14ac:dyDescent="0.25">
      <c r="A51" s="221" t="s">
        <v>990</v>
      </c>
      <c r="B51" s="217" t="s">
        <v>991</v>
      </c>
      <c r="C51" s="218">
        <v>595459</v>
      </c>
      <c r="D51" s="218">
        <v>0</v>
      </c>
      <c r="E51" s="222">
        <v>1192171</v>
      </c>
    </row>
    <row r="52" spans="1:5" ht="26.4" x14ac:dyDescent="0.25">
      <c r="A52" s="221" t="s">
        <v>992</v>
      </c>
      <c r="B52" s="217" t="s">
        <v>993</v>
      </c>
      <c r="C52" s="218">
        <v>473001</v>
      </c>
      <c r="D52" s="218">
        <v>0</v>
      </c>
      <c r="E52" s="222">
        <v>0</v>
      </c>
    </row>
    <row r="53" spans="1:5" ht="26.4" x14ac:dyDescent="0.25">
      <c r="A53" s="223" t="s">
        <v>996</v>
      </c>
      <c r="B53" s="219" t="s">
        <v>997</v>
      </c>
      <c r="C53" s="220">
        <v>1068460</v>
      </c>
      <c r="D53" s="220">
        <v>0</v>
      </c>
      <c r="E53" s="224">
        <v>1192171</v>
      </c>
    </row>
    <row r="54" spans="1:5" x14ac:dyDescent="0.25">
      <c r="A54" s="221" t="s">
        <v>1000</v>
      </c>
      <c r="B54" s="217" t="s">
        <v>1001</v>
      </c>
      <c r="C54" s="218">
        <v>-11739298</v>
      </c>
      <c r="D54" s="218">
        <v>0</v>
      </c>
      <c r="E54" s="222">
        <v>-988239</v>
      </c>
    </row>
    <row r="55" spans="1:5" ht="26.4" x14ac:dyDescent="0.25">
      <c r="A55" s="223" t="s">
        <v>1002</v>
      </c>
      <c r="B55" s="219" t="s">
        <v>1003</v>
      </c>
      <c r="C55" s="220">
        <v>-11739298</v>
      </c>
      <c r="D55" s="220">
        <v>0</v>
      </c>
      <c r="E55" s="224">
        <v>-988239</v>
      </c>
    </row>
    <row r="56" spans="1:5" ht="27" thickBot="1" x14ac:dyDescent="0.3">
      <c r="A56" s="244" t="s">
        <v>1010</v>
      </c>
      <c r="B56" s="245" t="s">
        <v>1011</v>
      </c>
      <c r="C56" s="246">
        <v>-10670838</v>
      </c>
      <c r="D56" s="246">
        <v>0</v>
      </c>
      <c r="E56" s="247">
        <v>203932</v>
      </c>
    </row>
    <row r="57" spans="1:5" ht="13.8" thickBot="1" x14ac:dyDescent="0.3">
      <c r="A57" s="248" t="s">
        <v>1020</v>
      </c>
      <c r="B57" s="249" t="s">
        <v>1021</v>
      </c>
      <c r="C57" s="250">
        <v>7263370520</v>
      </c>
      <c r="D57" s="250">
        <v>0</v>
      </c>
      <c r="E57" s="251">
        <v>7302110645</v>
      </c>
    </row>
    <row r="58" spans="1:5" x14ac:dyDescent="0.25">
      <c r="A58" s="228" t="s">
        <v>1022</v>
      </c>
      <c r="B58" s="229" t="s">
        <v>1023</v>
      </c>
      <c r="C58" s="230">
        <v>1801242944</v>
      </c>
      <c r="D58" s="230">
        <v>0</v>
      </c>
      <c r="E58" s="231">
        <v>1801242944</v>
      </c>
    </row>
    <row r="59" spans="1:5" x14ac:dyDescent="0.25">
      <c r="A59" s="221" t="s">
        <v>1024</v>
      </c>
      <c r="B59" s="217" t="s">
        <v>1025</v>
      </c>
      <c r="C59" s="218">
        <v>1420616051</v>
      </c>
      <c r="D59" s="218">
        <v>0</v>
      </c>
      <c r="E59" s="222">
        <v>1434641766</v>
      </c>
    </row>
    <row r="60" spans="1:5" ht="26.4" x14ac:dyDescent="0.25">
      <c r="A60" s="221" t="s">
        <v>1026</v>
      </c>
      <c r="B60" s="217" t="s">
        <v>1027</v>
      </c>
      <c r="C60" s="218">
        <v>47801000</v>
      </c>
      <c r="D60" s="218">
        <v>0</v>
      </c>
      <c r="E60" s="222">
        <v>47801000</v>
      </c>
    </row>
    <row r="61" spans="1:5" x14ac:dyDescent="0.25">
      <c r="A61" s="221" t="s">
        <v>1028</v>
      </c>
      <c r="B61" s="217" t="s">
        <v>1029</v>
      </c>
      <c r="C61" s="218">
        <v>1908440579</v>
      </c>
      <c r="D61" s="218">
        <v>0</v>
      </c>
      <c r="E61" s="222">
        <v>1972950446</v>
      </c>
    </row>
    <row r="62" spans="1:5" x14ac:dyDescent="0.25">
      <c r="A62" s="221" t="s">
        <v>1032</v>
      </c>
      <c r="B62" s="217" t="s">
        <v>1033</v>
      </c>
      <c r="C62" s="218">
        <v>64509867</v>
      </c>
      <c r="D62" s="218">
        <v>0</v>
      </c>
      <c r="E62" s="222">
        <v>-30708147</v>
      </c>
    </row>
    <row r="63" spans="1:5" x14ac:dyDescent="0.25">
      <c r="A63" s="223" t="s">
        <v>1034</v>
      </c>
      <c r="B63" s="219" t="s">
        <v>1035</v>
      </c>
      <c r="C63" s="220">
        <v>5242610441</v>
      </c>
      <c r="D63" s="220">
        <v>0</v>
      </c>
      <c r="E63" s="224">
        <v>5225928009</v>
      </c>
    </row>
    <row r="64" spans="1:5" ht="26.4" x14ac:dyDescent="0.25">
      <c r="A64" s="221" t="s">
        <v>1040</v>
      </c>
      <c r="B64" s="217" t="s">
        <v>1041</v>
      </c>
      <c r="C64" s="218">
        <v>7082197</v>
      </c>
      <c r="D64" s="218">
        <v>0</v>
      </c>
      <c r="E64" s="222">
        <v>3632311</v>
      </c>
    </row>
    <row r="65" spans="1:5" ht="26.4" x14ac:dyDescent="0.25">
      <c r="A65" s="221" t="s">
        <v>1042</v>
      </c>
      <c r="B65" s="217" t="s">
        <v>1043</v>
      </c>
      <c r="C65" s="218">
        <v>1198545</v>
      </c>
      <c r="D65" s="218">
        <v>0</v>
      </c>
      <c r="E65" s="222">
        <v>1257551</v>
      </c>
    </row>
    <row r="66" spans="1:5" ht="39.6" x14ac:dyDescent="0.25">
      <c r="A66" s="221" t="s">
        <v>1044</v>
      </c>
      <c r="B66" s="217" t="s">
        <v>1045</v>
      </c>
      <c r="C66" s="218">
        <v>18000</v>
      </c>
      <c r="D66" s="218">
        <v>0</v>
      </c>
      <c r="E66" s="222">
        <v>30000</v>
      </c>
    </row>
    <row r="67" spans="1:5" ht="26.4" x14ac:dyDescent="0.25">
      <c r="A67" s="221" t="s">
        <v>1050</v>
      </c>
      <c r="B67" s="217" t="s">
        <v>1051</v>
      </c>
      <c r="C67" s="218">
        <v>42331905</v>
      </c>
      <c r="D67" s="218">
        <v>0</v>
      </c>
      <c r="E67" s="222">
        <v>515620</v>
      </c>
    </row>
    <row r="68" spans="1:5" ht="26.4" x14ac:dyDescent="0.25">
      <c r="A68" s="223" t="s">
        <v>1086</v>
      </c>
      <c r="B68" s="219" t="s">
        <v>1087</v>
      </c>
      <c r="C68" s="220">
        <v>50630647</v>
      </c>
      <c r="D68" s="220">
        <v>0</v>
      </c>
      <c r="E68" s="224">
        <v>5435482</v>
      </c>
    </row>
    <row r="69" spans="1:5" ht="39.6" x14ac:dyDescent="0.25">
      <c r="A69" s="221" t="s">
        <v>1112</v>
      </c>
      <c r="B69" s="217" t="s">
        <v>1113</v>
      </c>
      <c r="C69" s="218">
        <v>18662628</v>
      </c>
      <c r="D69" s="218">
        <v>0</v>
      </c>
      <c r="E69" s="222">
        <v>17918748</v>
      </c>
    </row>
    <row r="70" spans="1:5" ht="39.6" x14ac:dyDescent="0.25">
      <c r="A70" s="221" t="s">
        <v>1122</v>
      </c>
      <c r="B70" s="217" t="s">
        <v>1123</v>
      </c>
      <c r="C70" s="218">
        <v>18662628</v>
      </c>
      <c r="D70" s="218">
        <v>0</v>
      </c>
      <c r="E70" s="222">
        <v>17918748</v>
      </c>
    </row>
    <row r="71" spans="1:5" ht="26.4" x14ac:dyDescent="0.25">
      <c r="A71" s="223" t="s">
        <v>1134</v>
      </c>
      <c r="B71" s="219" t="s">
        <v>1135</v>
      </c>
      <c r="C71" s="220">
        <v>18662628</v>
      </c>
      <c r="D71" s="220">
        <v>0</v>
      </c>
      <c r="E71" s="224">
        <v>17918748</v>
      </c>
    </row>
    <row r="72" spans="1:5" x14ac:dyDescent="0.25">
      <c r="A72" s="221" t="s">
        <v>1136</v>
      </c>
      <c r="B72" s="217" t="s">
        <v>1137</v>
      </c>
      <c r="C72" s="218">
        <v>23910735</v>
      </c>
      <c r="D72" s="218">
        <v>0</v>
      </c>
      <c r="E72" s="222">
        <v>25915751</v>
      </c>
    </row>
    <row r="73" spans="1:5" ht="26.4" x14ac:dyDescent="0.25">
      <c r="A73" s="221" t="s">
        <v>1140</v>
      </c>
      <c r="B73" s="217" t="s">
        <v>1141</v>
      </c>
      <c r="C73" s="218">
        <v>20161</v>
      </c>
      <c r="D73" s="218">
        <v>0</v>
      </c>
      <c r="E73" s="222">
        <v>7728483</v>
      </c>
    </row>
    <row r="74" spans="1:5" ht="26.4" x14ac:dyDescent="0.25">
      <c r="A74" s="223" t="s">
        <v>1154</v>
      </c>
      <c r="B74" s="219" t="s">
        <v>1155</v>
      </c>
      <c r="C74" s="220">
        <v>23930896</v>
      </c>
      <c r="D74" s="220">
        <v>0</v>
      </c>
      <c r="E74" s="224">
        <v>33644234</v>
      </c>
    </row>
    <row r="75" spans="1:5" x14ac:dyDescent="0.25">
      <c r="A75" s="223" t="s">
        <v>1156</v>
      </c>
      <c r="B75" s="219" t="s">
        <v>1157</v>
      </c>
      <c r="C75" s="220">
        <v>93224171</v>
      </c>
      <c r="D75" s="220">
        <v>0</v>
      </c>
      <c r="E75" s="224">
        <v>56998464</v>
      </c>
    </row>
    <row r="76" spans="1:5" ht="26.4" x14ac:dyDescent="0.25">
      <c r="A76" s="221" t="s">
        <v>1160</v>
      </c>
      <c r="B76" s="217" t="s">
        <v>1161</v>
      </c>
      <c r="C76" s="218">
        <v>77614288</v>
      </c>
      <c r="D76" s="218">
        <v>0</v>
      </c>
      <c r="E76" s="222">
        <v>82435948</v>
      </c>
    </row>
    <row r="77" spans="1:5" ht="26.4" x14ac:dyDescent="0.25">
      <c r="A77" s="221" t="s">
        <v>1162</v>
      </c>
      <c r="B77" s="217" t="s">
        <v>1163</v>
      </c>
      <c r="C77" s="218">
        <v>9470856</v>
      </c>
      <c r="D77" s="218">
        <v>0</v>
      </c>
      <c r="E77" s="222">
        <v>7926732</v>
      </c>
    </row>
    <row r="78" spans="1:5" x14ac:dyDescent="0.25">
      <c r="A78" s="221" t="s">
        <v>1164</v>
      </c>
      <c r="B78" s="217" t="s">
        <v>1165</v>
      </c>
      <c r="C78" s="218">
        <v>1840450764</v>
      </c>
      <c r="D78" s="218">
        <v>0</v>
      </c>
      <c r="E78" s="222">
        <v>1928821492</v>
      </c>
    </row>
    <row r="79" spans="1:5" ht="27" thickBot="1" x14ac:dyDescent="0.3">
      <c r="A79" s="244" t="s">
        <v>1166</v>
      </c>
      <c r="B79" s="245" t="s">
        <v>1167</v>
      </c>
      <c r="C79" s="246">
        <v>1927535908</v>
      </c>
      <c r="D79" s="246">
        <v>0</v>
      </c>
      <c r="E79" s="247">
        <v>2019184172</v>
      </c>
    </row>
    <row r="80" spans="1:5" ht="13.8" thickBot="1" x14ac:dyDescent="0.3">
      <c r="A80" s="248" t="s">
        <v>1168</v>
      </c>
      <c r="B80" s="249" t="s">
        <v>1169</v>
      </c>
      <c r="C80" s="250">
        <v>7263370520</v>
      </c>
      <c r="D80" s="250">
        <v>0</v>
      </c>
      <c r="E80" s="251">
        <v>7302110645</v>
      </c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3"/>
  <sheetViews>
    <sheetView workbookViewId="0">
      <selection activeCell="A2" sqref="A2"/>
    </sheetView>
  </sheetViews>
  <sheetFormatPr defaultRowHeight="13.2" x14ac:dyDescent="0.25"/>
  <cols>
    <col min="1" max="1" width="8.33203125" customWidth="1"/>
    <col min="2" max="2" width="41" customWidth="1"/>
    <col min="3" max="5" width="32.6640625" customWidth="1"/>
    <col min="257" max="257" width="8.33203125" customWidth="1"/>
    <col min="258" max="258" width="41" customWidth="1"/>
    <col min="259" max="261" width="32.6640625" customWidth="1"/>
    <col min="513" max="513" width="8.33203125" customWidth="1"/>
    <col min="514" max="514" width="41" customWidth="1"/>
    <col min="515" max="517" width="32.6640625" customWidth="1"/>
    <col min="769" max="769" width="8.33203125" customWidth="1"/>
    <col min="770" max="770" width="41" customWidth="1"/>
    <col min="771" max="773" width="32.6640625" customWidth="1"/>
    <col min="1025" max="1025" width="8.33203125" customWidth="1"/>
    <col min="1026" max="1026" width="41" customWidth="1"/>
    <col min="1027" max="1029" width="32.6640625" customWidth="1"/>
    <col min="1281" max="1281" width="8.33203125" customWidth="1"/>
    <col min="1282" max="1282" width="41" customWidth="1"/>
    <col min="1283" max="1285" width="32.6640625" customWidth="1"/>
    <col min="1537" max="1537" width="8.33203125" customWidth="1"/>
    <col min="1538" max="1538" width="41" customWidth="1"/>
    <col min="1539" max="1541" width="32.6640625" customWidth="1"/>
    <col min="1793" max="1793" width="8.33203125" customWidth="1"/>
    <col min="1794" max="1794" width="41" customWidth="1"/>
    <col min="1795" max="1797" width="32.6640625" customWidth="1"/>
    <col min="2049" max="2049" width="8.33203125" customWidth="1"/>
    <col min="2050" max="2050" width="41" customWidth="1"/>
    <col min="2051" max="2053" width="32.6640625" customWidth="1"/>
    <col min="2305" max="2305" width="8.33203125" customWidth="1"/>
    <col min="2306" max="2306" width="41" customWidth="1"/>
    <col min="2307" max="2309" width="32.6640625" customWidth="1"/>
    <col min="2561" max="2561" width="8.33203125" customWidth="1"/>
    <col min="2562" max="2562" width="41" customWidth="1"/>
    <col min="2563" max="2565" width="32.6640625" customWidth="1"/>
    <col min="2817" max="2817" width="8.33203125" customWidth="1"/>
    <col min="2818" max="2818" width="41" customWidth="1"/>
    <col min="2819" max="2821" width="32.6640625" customWidth="1"/>
    <col min="3073" max="3073" width="8.33203125" customWidth="1"/>
    <col min="3074" max="3074" width="41" customWidth="1"/>
    <col min="3075" max="3077" width="32.6640625" customWidth="1"/>
    <col min="3329" max="3329" width="8.33203125" customWidth="1"/>
    <col min="3330" max="3330" width="41" customWidth="1"/>
    <col min="3331" max="3333" width="32.6640625" customWidth="1"/>
    <col min="3585" max="3585" width="8.33203125" customWidth="1"/>
    <col min="3586" max="3586" width="41" customWidth="1"/>
    <col min="3587" max="3589" width="32.6640625" customWidth="1"/>
    <col min="3841" max="3841" width="8.33203125" customWidth="1"/>
    <col min="3842" max="3842" width="41" customWidth="1"/>
    <col min="3843" max="3845" width="32.6640625" customWidth="1"/>
    <col min="4097" max="4097" width="8.33203125" customWidth="1"/>
    <col min="4098" max="4098" width="41" customWidth="1"/>
    <col min="4099" max="4101" width="32.6640625" customWidth="1"/>
    <col min="4353" max="4353" width="8.33203125" customWidth="1"/>
    <col min="4354" max="4354" width="41" customWidth="1"/>
    <col min="4355" max="4357" width="32.6640625" customWidth="1"/>
    <col min="4609" max="4609" width="8.33203125" customWidth="1"/>
    <col min="4610" max="4610" width="41" customWidth="1"/>
    <col min="4611" max="4613" width="32.6640625" customWidth="1"/>
    <col min="4865" max="4865" width="8.33203125" customWidth="1"/>
    <col min="4866" max="4866" width="41" customWidth="1"/>
    <col min="4867" max="4869" width="32.6640625" customWidth="1"/>
    <col min="5121" max="5121" width="8.33203125" customWidth="1"/>
    <col min="5122" max="5122" width="41" customWidth="1"/>
    <col min="5123" max="5125" width="32.6640625" customWidth="1"/>
    <col min="5377" max="5377" width="8.33203125" customWidth="1"/>
    <col min="5378" max="5378" width="41" customWidth="1"/>
    <col min="5379" max="5381" width="32.6640625" customWidth="1"/>
    <col min="5633" max="5633" width="8.33203125" customWidth="1"/>
    <col min="5634" max="5634" width="41" customWidth="1"/>
    <col min="5635" max="5637" width="32.6640625" customWidth="1"/>
    <col min="5889" max="5889" width="8.33203125" customWidth="1"/>
    <col min="5890" max="5890" width="41" customWidth="1"/>
    <col min="5891" max="5893" width="32.6640625" customWidth="1"/>
    <col min="6145" max="6145" width="8.33203125" customWidth="1"/>
    <col min="6146" max="6146" width="41" customWidth="1"/>
    <col min="6147" max="6149" width="32.6640625" customWidth="1"/>
    <col min="6401" max="6401" width="8.33203125" customWidth="1"/>
    <col min="6402" max="6402" width="41" customWidth="1"/>
    <col min="6403" max="6405" width="32.6640625" customWidth="1"/>
    <col min="6657" max="6657" width="8.33203125" customWidth="1"/>
    <col min="6658" max="6658" width="41" customWidth="1"/>
    <col min="6659" max="6661" width="32.6640625" customWidth="1"/>
    <col min="6913" max="6913" width="8.33203125" customWidth="1"/>
    <col min="6914" max="6914" width="41" customWidth="1"/>
    <col min="6915" max="6917" width="32.6640625" customWidth="1"/>
    <col min="7169" max="7169" width="8.33203125" customWidth="1"/>
    <col min="7170" max="7170" width="41" customWidth="1"/>
    <col min="7171" max="7173" width="32.6640625" customWidth="1"/>
    <col min="7425" max="7425" width="8.33203125" customWidth="1"/>
    <col min="7426" max="7426" width="41" customWidth="1"/>
    <col min="7427" max="7429" width="32.6640625" customWidth="1"/>
    <col min="7681" max="7681" width="8.33203125" customWidth="1"/>
    <col min="7682" max="7682" width="41" customWidth="1"/>
    <col min="7683" max="7685" width="32.6640625" customWidth="1"/>
    <col min="7937" max="7937" width="8.33203125" customWidth="1"/>
    <col min="7938" max="7938" width="41" customWidth="1"/>
    <col min="7939" max="7941" width="32.6640625" customWidth="1"/>
    <col min="8193" max="8193" width="8.33203125" customWidth="1"/>
    <col min="8194" max="8194" width="41" customWidth="1"/>
    <col min="8195" max="8197" width="32.6640625" customWidth="1"/>
    <col min="8449" max="8449" width="8.33203125" customWidth="1"/>
    <col min="8450" max="8450" width="41" customWidth="1"/>
    <col min="8451" max="8453" width="32.6640625" customWidth="1"/>
    <col min="8705" max="8705" width="8.33203125" customWidth="1"/>
    <col min="8706" max="8706" width="41" customWidth="1"/>
    <col min="8707" max="8709" width="32.6640625" customWidth="1"/>
    <col min="8961" max="8961" width="8.33203125" customWidth="1"/>
    <col min="8962" max="8962" width="41" customWidth="1"/>
    <col min="8963" max="8965" width="32.6640625" customWidth="1"/>
    <col min="9217" max="9217" width="8.33203125" customWidth="1"/>
    <col min="9218" max="9218" width="41" customWidth="1"/>
    <col min="9219" max="9221" width="32.6640625" customWidth="1"/>
    <col min="9473" max="9473" width="8.33203125" customWidth="1"/>
    <col min="9474" max="9474" width="41" customWidth="1"/>
    <col min="9475" max="9477" width="32.6640625" customWidth="1"/>
    <col min="9729" max="9729" width="8.33203125" customWidth="1"/>
    <col min="9730" max="9730" width="41" customWidth="1"/>
    <col min="9731" max="9733" width="32.6640625" customWidth="1"/>
    <col min="9985" max="9985" width="8.33203125" customWidth="1"/>
    <col min="9986" max="9986" width="41" customWidth="1"/>
    <col min="9987" max="9989" width="32.6640625" customWidth="1"/>
    <col min="10241" max="10241" width="8.33203125" customWidth="1"/>
    <col min="10242" max="10242" width="41" customWidth="1"/>
    <col min="10243" max="10245" width="32.6640625" customWidth="1"/>
    <col min="10497" max="10497" width="8.33203125" customWidth="1"/>
    <col min="10498" max="10498" width="41" customWidth="1"/>
    <col min="10499" max="10501" width="32.6640625" customWidth="1"/>
    <col min="10753" max="10753" width="8.33203125" customWidth="1"/>
    <col min="10754" max="10754" width="41" customWidth="1"/>
    <col min="10755" max="10757" width="32.6640625" customWidth="1"/>
    <col min="11009" max="11009" width="8.33203125" customWidth="1"/>
    <col min="11010" max="11010" width="41" customWidth="1"/>
    <col min="11011" max="11013" width="32.6640625" customWidth="1"/>
    <col min="11265" max="11265" width="8.33203125" customWidth="1"/>
    <col min="11266" max="11266" width="41" customWidth="1"/>
    <col min="11267" max="11269" width="32.6640625" customWidth="1"/>
    <col min="11521" max="11521" width="8.33203125" customWidth="1"/>
    <col min="11522" max="11522" width="41" customWidth="1"/>
    <col min="11523" max="11525" width="32.6640625" customWidth="1"/>
    <col min="11777" max="11777" width="8.33203125" customWidth="1"/>
    <col min="11778" max="11778" width="41" customWidth="1"/>
    <col min="11779" max="11781" width="32.6640625" customWidth="1"/>
    <col min="12033" max="12033" width="8.33203125" customWidth="1"/>
    <col min="12034" max="12034" width="41" customWidth="1"/>
    <col min="12035" max="12037" width="32.6640625" customWidth="1"/>
    <col min="12289" max="12289" width="8.33203125" customWidth="1"/>
    <col min="12290" max="12290" width="41" customWidth="1"/>
    <col min="12291" max="12293" width="32.6640625" customWidth="1"/>
    <col min="12545" max="12545" width="8.33203125" customWidth="1"/>
    <col min="12546" max="12546" width="41" customWidth="1"/>
    <col min="12547" max="12549" width="32.6640625" customWidth="1"/>
    <col min="12801" max="12801" width="8.33203125" customWidth="1"/>
    <col min="12802" max="12802" width="41" customWidth="1"/>
    <col min="12803" max="12805" width="32.6640625" customWidth="1"/>
    <col min="13057" max="13057" width="8.33203125" customWidth="1"/>
    <col min="13058" max="13058" width="41" customWidth="1"/>
    <col min="13059" max="13061" width="32.6640625" customWidth="1"/>
    <col min="13313" max="13313" width="8.33203125" customWidth="1"/>
    <col min="13314" max="13314" width="41" customWidth="1"/>
    <col min="13315" max="13317" width="32.6640625" customWidth="1"/>
    <col min="13569" max="13569" width="8.33203125" customWidth="1"/>
    <col min="13570" max="13570" width="41" customWidth="1"/>
    <col min="13571" max="13573" width="32.6640625" customWidth="1"/>
    <col min="13825" max="13825" width="8.33203125" customWidth="1"/>
    <col min="13826" max="13826" width="41" customWidth="1"/>
    <col min="13827" max="13829" width="32.6640625" customWidth="1"/>
    <col min="14081" max="14081" width="8.33203125" customWidth="1"/>
    <col min="14082" max="14082" width="41" customWidth="1"/>
    <col min="14083" max="14085" width="32.6640625" customWidth="1"/>
    <col min="14337" max="14337" width="8.33203125" customWidth="1"/>
    <col min="14338" max="14338" width="41" customWidth="1"/>
    <col min="14339" max="14341" width="32.6640625" customWidth="1"/>
    <col min="14593" max="14593" width="8.33203125" customWidth="1"/>
    <col min="14594" max="14594" width="41" customWidth="1"/>
    <col min="14595" max="14597" width="32.6640625" customWidth="1"/>
    <col min="14849" max="14849" width="8.33203125" customWidth="1"/>
    <col min="14850" max="14850" width="41" customWidth="1"/>
    <col min="14851" max="14853" width="32.6640625" customWidth="1"/>
    <col min="15105" max="15105" width="8.33203125" customWidth="1"/>
    <col min="15106" max="15106" width="41" customWidth="1"/>
    <col min="15107" max="15109" width="32.6640625" customWidth="1"/>
    <col min="15361" max="15361" width="8.33203125" customWidth="1"/>
    <col min="15362" max="15362" width="41" customWidth="1"/>
    <col min="15363" max="15365" width="32.6640625" customWidth="1"/>
    <col min="15617" max="15617" width="8.33203125" customWidth="1"/>
    <col min="15618" max="15618" width="41" customWidth="1"/>
    <col min="15619" max="15621" width="32.6640625" customWidth="1"/>
    <col min="15873" max="15873" width="8.33203125" customWidth="1"/>
    <col min="15874" max="15874" width="41" customWidth="1"/>
    <col min="15875" max="15877" width="32.6640625" customWidth="1"/>
    <col min="16129" max="16129" width="8.33203125" customWidth="1"/>
    <col min="16130" max="16130" width="41" customWidth="1"/>
    <col min="16131" max="16133" width="32.6640625" customWidth="1"/>
  </cols>
  <sheetData>
    <row r="1" spans="1:5" ht="28.95" customHeight="1" thickBot="1" x14ac:dyDescent="0.3">
      <c r="A1" s="1129" t="s">
        <v>1171</v>
      </c>
      <c r="B1" s="1130"/>
      <c r="C1" s="1130"/>
      <c r="D1" s="1130"/>
      <c r="E1" s="1131"/>
    </row>
    <row r="2" spans="1:5" ht="20.399999999999999" customHeight="1" x14ac:dyDescent="0.25">
      <c r="A2" s="235"/>
      <c r="B2" s="236" t="s">
        <v>373</v>
      </c>
      <c r="C2" s="236" t="s">
        <v>792</v>
      </c>
      <c r="D2" s="236" t="s">
        <v>793</v>
      </c>
      <c r="E2" s="237" t="s">
        <v>794</v>
      </c>
    </row>
    <row r="3" spans="1:5" ht="19.95" customHeight="1" thickBot="1" x14ac:dyDescent="0.3">
      <c r="A3" s="232">
        <v>1</v>
      </c>
      <c r="B3" s="233">
        <v>2</v>
      </c>
      <c r="C3" s="233">
        <v>3</v>
      </c>
      <c r="D3" s="233">
        <v>4</v>
      </c>
      <c r="E3" s="234">
        <v>5</v>
      </c>
    </row>
    <row r="4" spans="1:5" x14ac:dyDescent="0.25">
      <c r="A4" s="228" t="s">
        <v>522</v>
      </c>
      <c r="B4" s="229" t="s">
        <v>795</v>
      </c>
      <c r="C4" s="230">
        <v>554044</v>
      </c>
      <c r="D4" s="230">
        <v>0</v>
      </c>
      <c r="E4" s="231">
        <v>100364</v>
      </c>
    </row>
    <row r="5" spans="1:5" x14ac:dyDescent="0.25">
      <c r="A5" s="221" t="s">
        <v>524</v>
      </c>
      <c r="B5" s="217" t="s">
        <v>796</v>
      </c>
      <c r="C5" s="218">
        <v>1632000</v>
      </c>
      <c r="D5" s="218">
        <v>0</v>
      </c>
      <c r="E5" s="222">
        <v>2059760</v>
      </c>
    </row>
    <row r="6" spans="1:5" x14ac:dyDescent="0.25">
      <c r="A6" s="221" t="s">
        <v>526</v>
      </c>
      <c r="B6" s="217" t="s">
        <v>797</v>
      </c>
      <c r="C6" s="218">
        <v>0</v>
      </c>
      <c r="D6" s="218">
        <v>0</v>
      </c>
      <c r="E6" s="222">
        <v>0</v>
      </c>
    </row>
    <row r="7" spans="1:5" x14ac:dyDescent="0.25">
      <c r="A7" s="223" t="s">
        <v>528</v>
      </c>
      <c r="B7" s="219" t="s">
        <v>798</v>
      </c>
      <c r="C7" s="220">
        <v>2186044</v>
      </c>
      <c r="D7" s="220">
        <v>0</v>
      </c>
      <c r="E7" s="224">
        <v>2160124</v>
      </c>
    </row>
    <row r="8" spans="1:5" ht="26.4" x14ac:dyDescent="0.25">
      <c r="A8" s="221" t="s">
        <v>530</v>
      </c>
      <c r="B8" s="217" t="s">
        <v>799</v>
      </c>
      <c r="C8" s="218">
        <v>6059187189</v>
      </c>
      <c r="D8" s="218">
        <v>0</v>
      </c>
      <c r="E8" s="222">
        <v>6171845127</v>
      </c>
    </row>
    <row r="9" spans="1:5" ht="26.4" x14ac:dyDescent="0.25">
      <c r="A9" s="221" t="s">
        <v>532</v>
      </c>
      <c r="B9" s="217" t="s">
        <v>800</v>
      </c>
      <c r="C9" s="218">
        <v>236918322</v>
      </c>
      <c r="D9" s="218">
        <v>0</v>
      </c>
      <c r="E9" s="222">
        <v>188440087</v>
      </c>
    </row>
    <row r="10" spans="1:5" x14ac:dyDescent="0.25">
      <c r="A10" s="221" t="s">
        <v>534</v>
      </c>
      <c r="B10" s="217" t="s">
        <v>801</v>
      </c>
      <c r="C10" s="218">
        <v>0</v>
      </c>
      <c r="D10" s="218">
        <v>0</v>
      </c>
      <c r="E10" s="222">
        <v>0</v>
      </c>
    </row>
    <row r="11" spans="1:5" x14ac:dyDescent="0.25">
      <c r="A11" s="221" t="s">
        <v>536</v>
      </c>
      <c r="B11" s="217" t="s">
        <v>802</v>
      </c>
      <c r="C11" s="218">
        <v>124776518</v>
      </c>
      <c r="D11" s="218">
        <v>0</v>
      </c>
      <c r="E11" s="222">
        <v>67450829</v>
      </c>
    </row>
    <row r="12" spans="1:5" x14ac:dyDescent="0.25">
      <c r="A12" s="221" t="s">
        <v>538</v>
      </c>
      <c r="B12" s="217" t="s">
        <v>803</v>
      </c>
      <c r="C12" s="218">
        <v>0</v>
      </c>
      <c r="D12" s="218">
        <v>0</v>
      </c>
      <c r="E12" s="222">
        <v>0</v>
      </c>
    </row>
    <row r="13" spans="1:5" x14ac:dyDescent="0.25">
      <c r="A13" s="223" t="s">
        <v>540</v>
      </c>
      <c r="B13" s="219" t="s">
        <v>804</v>
      </c>
      <c r="C13" s="220">
        <v>6420882029</v>
      </c>
      <c r="D13" s="220">
        <v>0</v>
      </c>
      <c r="E13" s="224">
        <v>6427736043</v>
      </c>
    </row>
    <row r="14" spans="1:5" ht="26.4" x14ac:dyDescent="0.25">
      <c r="A14" s="221" t="s">
        <v>542</v>
      </c>
      <c r="B14" s="217" t="s">
        <v>805</v>
      </c>
      <c r="C14" s="218">
        <v>17563795</v>
      </c>
      <c r="D14" s="218">
        <v>0</v>
      </c>
      <c r="E14" s="222">
        <v>17679040</v>
      </c>
    </row>
    <row r="15" spans="1:5" ht="26.4" x14ac:dyDescent="0.25">
      <c r="A15" s="221" t="s">
        <v>544</v>
      </c>
      <c r="B15" s="217" t="s">
        <v>806</v>
      </c>
      <c r="C15" s="218">
        <v>0</v>
      </c>
      <c r="D15" s="218">
        <v>0</v>
      </c>
      <c r="E15" s="222">
        <v>0</v>
      </c>
    </row>
    <row r="16" spans="1:5" ht="26.4" x14ac:dyDescent="0.25">
      <c r="A16" s="221" t="s">
        <v>546</v>
      </c>
      <c r="B16" s="217" t="s">
        <v>807</v>
      </c>
      <c r="C16" s="218">
        <v>0</v>
      </c>
      <c r="D16" s="218">
        <v>0</v>
      </c>
      <c r="E16" s="222">
        <v>0</v>
      </c>
    </row>
    <row r="17" spans="1:5" ht="26.4" x14ac:dyDescent="0.25">
      <c r="A17" s="221" t="s">
        <v>548</v>
      </c>
      <c r="B17" s="217" t="s">
        <v>808</v>
      </c>
      <c r="C17" s="218">
        <v>0</v>
      </c>
      <c r="D17" s="218">
        <v>0</v>
      </c>
      <c r="E17" s="222">
        <v>0</v>
      </c>
    </row>
    <row r="18" spans="1:5" x14ac:dyDescent="0.25">
      <c r="A18" s="221" t="s">
        <v>550</v>
      </c>
      <c r="B18" s="217" t="s">
        <v>809</v>
      </c>
      <c r="C18" s="218">
        <v>0</v>
      </c>
      <c r="D18" s="218">
        <v>0</v>
      </c>
      <c r="E18" s="222">
        <v>0</v>
      </c>
    </row>
    <row r="19" spans="1:5" x14ac:dyDescent="0.25">
      <c r="A19" s="221" t="s">
        <v>552</v>
      </c>
      <c r="B19" s="217" t="s">
        <v>810</v>
      </c>
      <c r="C19" s="218">
        <v>17563795</v>
      </c>
      <c r="D19" s="218">
        <v>0</v>
      </c>
      <c r="E19" s="222">
        <v>17679040</v>
      </c>
    </row>
    <row r="20" spans="1:5" ht="26.4" x14ac:dyDescent="0.25">
      <c r="A20" s="221" t="s">
        <v>554</v>
      </c>
      <c r="B20" s="217" t="s">
        <v>811</v>
      </c>
      <c r="C20" s="218">
        <v>0</v>
      </c>
      <c r="D20" s="218">
        <v>0</v>
      </c>
      <c r="E20" s="222">
        <v>0</v>
      </c>
    </row>
    <row r="21" spans="1:5" x14ac:dyDescent="0.25">
      <c r="A21" s="221" t="s">
        <v>556</v>
      </c>
      <c r="B21" s="217" t="s">
        <v>812</v>
      </c>
      <c r="C21" s="218">
        <v>0</v>
      </c>
      <c r="D21" s="218">
        <v>0</v>
      </c>
      <c r="E21" s="222">
        <v>0</v>
      </c>
    </row>
    <row r="22" spans="1:5" x14ac:dyDescent="0.25">
      <c r="A22" s="221" t="s">
        <v>558</v>
      </c>
      <c r="B22" s="217" t="s">
        <v>813</v>
      </c>
      <c r="C22" s="218">
        <v>0</v>
      </c>
      <c r="D22" s="218">
        <v>0</v>
      </c>
      <c r="E22" s="222">
        <v>0</v>
      </c>
    </row>
    <row r="23" spans="1:5" ht="26.4" x14ac:dyDescent="0.25">
      <c r="A23" s="221" t="s">
        <v>560</v>
      </c>
      <c r="B23" s="217" t="s">
        <v>814</v>
      </c>
      <c r="C23" s="218">
        <v>0</v>
      </c>
      <c r="D23" s="218">
        <v>0</v>
      </c>
      <c r="E23" s="222">
        <v>0</v>
      </c>
    </row>
    <row r="24" spans="1:5" ht="26.4" x14ac:dyDescent="0.25">
      <c r="A24" s="223" t="s">
        <v>562</v>
      </c>
      <c r="B24" s="219" t="s">
        <v>815</v>
      </c>
      <c r="C24" s="220">
        <v>17563795</v>
      </c>
      <c r="D24" s="220">
        <v>0</v>
      </c>
      <c r="E24" s="224">
        <v>17679040</v>
      </c>
    </row>
    <row r="25" spans="1:5" ht="26.4" x14ac:dyDescent="0.25">
      <c r="A25" s="221" t="s">
        <v>564</v>
      </c>
      <c r="B25" s="217" t="s">
        <v>816</v>
      </c>
      <c r="C25" s="218">
        <v>0</v>
      </c>
      <c r="D25" s="218">
        <v>0</v>
      </c>
      <c r="E25" s="222">
        <v>0</v>
      </c>
    </row>
    <row r="26" spans="1:5" x14ac:dyDescent="0.25">
      <c r="A26" s="221" t="s">
        <v>566</v>
      </c>
      <c r="B26" s="217" t="s">
        <v>817</v>
      </c>
      <c r="C26" s="218">
        <v>0</v>
      </c>
      <c r="D26" s="218">
        <v>0</v>
      </c>
      <c r="E26" s="222">
        <v>0</v>
      </c>
    </row>
    <row r="27" spans="1:5" x14ac:dyDescent="0.25">
      <c r="A27" s="221" t="s">
        <v>568</v>
      </c>
      <c r="B27" s="217" t="s">
        <v>818</v>
      </c>
      <c r="C27" s="218">
        <v>0</v>
      </c>
      <c r="D27" s="218">
        <v>0</v>
      </c>
      <c r="E27" s="222">
        <v>0</v>
      </c>
    </row>
    <row r="28" spans="1:5" ht="26.4" x14ac:dyDescent="0.25">
      <c r="A28" s="221" t="s">
        <v>570</v>
      </c>
      <c r="B28" s="217" t="s">
        <v>819</v>
      </c>
      <c r="C28" s="218">
        <v>0</v>
      </c>
      <c r="D28" s="218">
        <v>0</v>
      </c>
      <c r="E28" s="222">
        <v>0</v>
      </c>
    </row>
    <row r="29" spans="1:5" ht="26.4" x14ac:dyDescent="0.25">
      <c r="A29" s="221" t="s">
        <v>572</v>
      </c>
      <c r="B29" s="217" t="s">
        <v>820</v>
      </c>
      <c r="C29" s="218">
        <v>0</v>
      </c>
      <c r="D29" s="218">
        <v>0</v>
      </c>
      <c r="E29" s="222">
        <v>0</v>
      </c>
    </row>
    <row r="30" spans="1:5" ht="26.4" x14ac:dyDescent="0.25">
      <c r="A30" s="223" t="s">
        <v>574</v>
      </c>
      <c r="B30" s="219" t="s">
        <v>821</v>
      </c>
      <c r="C30" s="220">
        <v>0</v>
      </c>
      <c r="D30" s="220">
        <v>0</v>
      </c>
      <c r="E30" s="224">
        <v>0</v>
      </c>
    </row>
    <row r="31" spans="1:5" ht="39.6" x14ac:dyDescent="0.25">
      <c r="A31" s="223" t="s">
        <v>576</v>
      </c>
      <c r="B31" s="219" t="s">
        <v>822</v>
      </c>
      <c r="C31" s="220">
        <v>6440631868</v>
      </c>
      <c r="D31" s="220">
        <v>0</v>
      </c>
      <c r="E31" s="224">
        <v>6447575207</v>
      </c>
    </row>
    <row r="32" spans="1:5" x14ac:dyDescent="0.25">
      <c r="A32" s="221" t="s">
        <v>578</v>
      </c>
      <c r="B32" s="217" t="s">
        <v>823</v>
      </c>
      <c r="C32" s="218">
        <v>170637148</v>
      </c>
      <c r="D32" s="218">
        <v>0</v>
      </c>
      <c r="E32" s="222">
        <v>170942817</v>
      </c>
    </row>
    <row r="33" spans="1:5" x14ac:dyDescent="0.25">
      <c r="A33" s="221" t="s">
        <v>580</v>
      </c>
      <c r="B33" s="217" t="s">
        <v>824</v>
      </c>
      <c r="C33" s="218">
        <v>0</v>
      </c>
      <c r="D33" s="218">
        <v>0</v>
      </c>
      <c r="E33" s="222">
        <v>0</v>
      </c>
    </row>
    <row r="34" spans="1:5" x14ac:dyDescent="0.25">
      <c r="A34" s="221" t="s">
        <v>582</v>
      </c>
      <c r="B34" s="217" t="s">
        <v>825</v>
      </c>
      <c r="C34" s="218">
        <v>0</v>
      </c>
      <c r="D34" s="218">
        <v>0</v>
      </c>
      <c r="E34" s="222">
        <v>0</v>
      </c>
    </row>
    <row r="35" spans="1:5" ht="26.4" x14ac:dyDescent="0.25">
      <c r="A35" s="221" t="s">
        <v>584</v>
      </c>
      <c r="B35" s="217" t="s">
        <v>826</v>
      </c>
      <c r="C35" s="218">
        <v>6159325</v>
      </c>
      <c r="D35" s="218">
        <v>0</v>
      </c>
      <c r="E35" s="222">
        <v>5980139</v>
      </c>
    </row>
    <row r="36" spans="1:5" x14ac:dyDescent="0.25">
      <c r="A36" s="221" t="s">
        <v>586</v>
      </c>
      <c r="B36" s="217" t="s">
        <v>827</v>
      </c>
      <c r="C36" s="218">
        <v>0</v>
      </c>
      <c r="D36" s="218">
        <v>0</v>
      </c>
      <c r="E36" s="222">
        <v>0</v>
      </c>
    </row>
    <row r="37" spans="1:5" x14ac:dyDescent="0.25">
      <c r="A37" s="223" t="s">
        <v>588</v>
      </c>
      <c r="B37" s="219" t="s">
        <v>828</v>
      </c>
      <c r="C37" s="220">
        <v>176796473</v>
      </c>
      <c r="D37" s="220">
        <v>0</v>
      </c>
      <c r="E37" s="224">
        <v>176922956</v>
      </c>
    </row>
    <row r="38" spans="1:5" x14ac:dyDescent="0.25">
      <c r="A38" s="221" t="s">
        <v>590</v>
      </c>
      <c r="B38" s="217" t="s">
        <v>829</v>
      </c>
      <c r="C38" s="218">
        <v>0</v>
      </c>
      <c r="D38" s="218">
        <v>0</v>
      </c>
      <c r="E38" s="222">
        <v>0</v>
      </c>
    </row>
    <row r="39" spans="1:5" ht="26.4" x14ac:dyDescent="0.25">
      <c r="A39" s="221" t="s">
        <v>592</v>
      </c>
      <c r="B39" s="217" t="s">
        <v>830</v>
      </c>
      <c r="C39" s="218">
        <v>0</v>
      </c>
      <c r="D39" s="218">
        <v>0</v>
      </c>
      <c r="E39" s="222">
        <v>0</v>
      </c>
    </row>
    <row r="40" spans="1:5" x14ac:dyDescent="0.25">
      <c r="A40" s="221" t="s">
        <v>594</v>
      </c>
      <c r="B40" s="217" t="s">
        <v>831</v>
      </c>
      <c r="C40" s="218">
        <v>0</v>
      </c>
      <c r="D40" s="218">
        <v>0</v>
      </c>
      <c r="E40" s="222">
        <v>0</v>
      </c>
    </row>
    <row r="41" spans="1:5" x14ac:dyDescent="0.25">
      <c r="A41" s="221" t="s">
        <v>596</v>
      </c>
      <c r="B41" s="217" t="s">
        <v>832</v>
      </c>
      <c r="C41" s="218">
        <v>0</v>
      </c>
      <c r="D41" s="218">
        <v>0</v>
      </c>
      <c r="E41" s="222">
        <v>0</v>
      </c>
    </row>
    <row r="42" spans="1:5" x14ac:dyDescent="0.25">
      <c r="A42" s="221" t="s">
        <v>598</v>
      </c>
      <c r="B42" s="217" t="s">
        <v>833</v>
      </c>
      <c r="C42" s="218">
        <v>0</v>
      </c>
      <c r="D42" s="218">
        <v>0</v>
      </c>
      <c r="E42" s="222">
        <v>0</v>
      </c>
    </row>
    <row r="43" spans="1:5" x14ac:dyDescent="0.25">
      <c r="A43" s="221" t="s">
        <v>600</v>
      </c>
      <c r="B43" s="217" t="s">
        <v>834</v>
      </c>
      <c r="C43" s="218">
        <v>0</v>
      </c>
      <c r="D43" s="218">
        <v>0</v>
      </c>
      <c r="E43" s="222">
        <v>0</v>
      </c>
    </row>
    <row r="44" spans="1:5" x14ac:dyDescent="0.25">
      <c r="A44" s="221" t="s">
        <v>602</v>
      </c>
      <c r="B44" s="217" t="s">
        <v>835</v>
      </c>
      <c r="C44" s="218">
        <v>0</v>
      </c>
      <c r="D44" s="218">
        <v>0</v>
      </c>
      <c r="E44" s="222">
        <v>0</v>
      </c>
    </row>
    <row r="45" spans="1:5" x14ac:dyDescent="0.25">
      <c r="A45" s="223" t="s">
        <v>604</v>
      </c>
      <c r="B45" s="219" t="s">
        <v>836</v>
      </c>
      <c r="C45" s="220">
        <v>0</v>
      </c>
      <c r="D45" s="220">
        <v>0</v>
      </c>
      <c r="E45" s="224">
        <v>0</v>
      </c>
    </row>
    <row r="46" spans="1:5" ht="26.4" x14ac:dyDescent="0.25">
      <c r="A46" s="223" t="s">
        <v>606</v>
      </c>
      <c r="B46" s="219" t="s">
        <v>837</v>
      </c>
      <c r="C46" s="220">
        <v>176796473</v>
      </c>
      <c r="D46" s="220">
        <v>0</v>
      </c>
      <c r="E46" s="224">
        <v>176922956</v>
      </c>
    </row>
    <row r="47" spans="1:5" x14ac:dyDescent="0.25">
      <c r="A47" s="221" t="s">
        <v>608</v>
      </c>
      <c r="B47" s="217" t="s">
        <v>838</v>
      </c>
      <c r="C47" s="218">
        <v>0</v>
      </c>
      <c r="D47" s="218">
        <v>0</v>
      </c>
      <c r="E47" s="222">
        <v>0</v>
      </c>
    </row>
    <row r="48" spans="1:5" ht="26.4" x14ac:dyDescent="0.25">
      <c r="A48" s="221" t="s">
        <v>610</v>
      </c>
      <c r="B48" s="217" t="s">
        <v>839</v>
      </c>
      <c r="C48" s="218">
        <v>0</v>
      </c>
      <c r="D48" s="218">
        <v>0</v>
      </c>
      <c r="E48" s="222">
        <v>0</v>
      </c>
    </row>
    <row r="49" spans="1:5" x14ac:dyDescent="0.25">
      <c r="A49" s="223" t="s">
        <v>612</v>
      </c>
      <c r="B49" s="219" t="s">
        <v>840</v>
      </c>
      <c r="C49" s="220">
        <v>0</v>
      </c>
      <c r="D49" s="220">
        <v>0</v>
      </c>
      <c r="E49" s="224">
        <v>0</v>
      </c>
    </row>
    <row r="50" spans="1:5" x14ac:dyDescent="0.25">
      <c r="A50" s="221" t="s">
        <v>614</v>
      </c>
      <c r="B50" s="217" t="s">
        <v>841</v>
      </c>
      <c r="C50" s="218">
        <v>1515575</v>
      </c>
      <c r="D50" s="218">
        <v>0</v>
      </c>
      <c r="E50" s="222">
        <v>1299845</v>
      </c>
    </row>
    <row r="51" spans="1:5" x14ac:dyDescent="0.25">
      <c r="A51" s="221" t="s">
        <v>616</v>
      </c>
      <c r="B51" s="217" t="s">
        <v>842</v>
      </c>
      <c r="C51" s="218">
        <v>0</v>
      </c>
      <c r="D51" s="218">
        <v>0</v>
      </c>
      <c r="E51" s="222">
        <v>0</v>
      </c>
    </row>
    <row r="52" spans="1:5" ht="26.4" x14ac:dyDescent="0.25">
      <c r="A52" s="221" t="s">
        <v>618</v>
      </c>
      <c r="B52" s="217" t="s">
        <v>843</v>
      </c>
      <c r="C52" s="218">
        <v>0</v>
      </c>
      <c r="D52" s="218">
        <v>0</v>
      </c>
      <c r="E52" s="222">
        <v>0</v>
      </c>
    </row>
    <row r="53" spans="1:5" ht="26.4" x14ac:dyDescent="0.25">
      <c r="A53" s="223" t="s">
        <v>620</v>
      </c>
      <c r="B53" s="219" t="s">
        <v>844</v>
      </c>
      <c r="C53" s="220">
        <v>1515575</v>
      </c>
      <c r="D53" s="220">
        <v>0</v>
      </c>
      <c r="E53" s="224">
        <v>1299845</v>
      </c>
    </row>
    <row r="54" spans="1:5" x14ac:dyDescent="0.25">
      <c r="A54" s="221" t="s">
        <v>622</v>
      </c>
      <c r="B54" s="217" t="s">
        <v>845</v>
      </c>
      <c r="C54" s="218">
        <v>504350565</v>
      </c>
      <c r="D54" s="218">
        <v>0</v>
      </c>
      <c r="E54" s="222">
        <v>188679835</v>
      </c>
    </row>
    <row r="55" spans="1:5" x14ac:dyDescent="0.25">
      <c r="A55" s="221" t="s">
        <v>624</v>
      </c>
      <c r="B55" s="217" t="s">
        <v>846</v>
      </c>
      <c r="C55" s="218">
        <v>0</v>
      </c>
      <c r="D55" s="218">
        <v>0</v>
      </c>
      <c r="E55" s="222">
        <v>299624307</v>
      </c>
    </row>
    <row r="56" spans="1:5" x14ac:dyDescent="0.25">
      <c r="A56" s="223" t="s">
        <v>626</v>
      </c>
      <c r="B56" s="219" t="s">
        <v>847</v>
      </c>
      <c r="C56" s="220">
        <v>504350565</v>
      </c>
      <c r="D56" s="220">
        <v>0</v>
      </c>
      <c r="E56" s="224">
        <v>488304142</v>
      </c>
    </row>
    <row r="57" spans="1:5" x14ac:dyDescent="0.25">
      <c r="A57" s="221" t="s">
        <v>628</v>
      </c>
      <c r="B57" s="217" t="s">
        <v>848</v>
      </c>
      <c r="C57" s="218">
        <v>0</v>
      </c>
      <c r="D57" s="218">
        <v>0</v>
      </c>
      <c r="E57" s="222">
        <v>0</v>
      </c>
    </row>
    <row r="58" spans="1:5" x14ac:dyDescent="0.25">
      <c r="A58" s="221" t="s">
        <v>630</v>
      </c>
      <c r="B58" s="217" t="s">
        <v>849</v>
      </c>
      <c r="C58" s="218">
        <v>0</v>
      </c>
      <c r="D58" s="218">
        <v>0</v>
      </c>
      <c r="E58" s="222">
        <v>0</v>
      </c>
    </row>
    <row r="59" spans="1:5" x14ac:dyDescent="0.25">
      <c r="A59" s="223" t="s">
        <v>632</v>
      </c>
      <c r="B59" s="219" t="s">
        <v>850</v>
      </c>
      <c r="C59" s="220">
        <v>0</v>
      </c>
      <c r="D59" s="220">
        <v>0</v>
      </c>
      <c r="E59" s="224">
        <v>0</v>
      </c>
    </row>
    <row r="60" spans="1:5" x14ac:dyDescent="0.25">
      <c r="A60" s="223" t="s">
        <v>634</v>
      </c>
      <c r="B60" s="219" t="s">
        <v>851</v>
      </c>
      <c r="C60" s="220">
        <v>505866140</v>
      </c>
      <c r="D60" s="220">
        <v>0</v>
      </c>
      <c r="E60" s="224">
        <v>489603987</v>
      </c>
    </row>
    <row r="61" spans="1:5" ht="39.6" x14ac:dyDescent="0.25">
      <c r="A61" s="221" t="s">
        <v>636</v>
      </c>
      <c r="B61" s="217" t="s">
        <v>852</v>
      </c>
      <c r="C61" s="218">
        <v>614967</v>
      </c>
      <c r="D61" s="218">
        <v>0</v>
      </c>
      <c r="E61" s="222">
        <v>0</v>
      </c>
    </row>
    <row r="62" spans="1:5" ht="52.8" x14ac:dyDescent="0.25">
      <c r="A62" s="221" t="s">
        <v>638</v>
      </c>
      <c r="B62" s="217" t="s">
        <v>853</v>
      </c>
      <c r="C62" s="218">
        <v>0</v>
      </c>
      <c r="D62" s="218">
        <v>0</v>
      </c>
      <c r="E62" s="222">
        <v>0</v>
      </c>
    </row>
    <row r="63" spans="1:5" ht="39.6" x14ac:dyDescent="0.25">
      <c r="A63" s="221" t="s">
        <v>640</v>
      </c>
      <c r="B63" s="217" t="s">
        <v>854</v>
      </c>
      <c r="C63" s="218">
        <v>0</v>
      </c>
      <c r="D63" s="218">
        <v>0</v>
      </c>
      <c r="E63" s="222">
        <v>0</v>
      </c>
    </row>
    <row r="64" spans="1:5" ht="52.8" x14ac:dyDescent="0.25">
      <c r="A64" s="221" t="s">
        <v>642</v>
      </c>
      <c r="B64" s="217" t="s">
        <v>855</v>
      </c>
      <c r="C64" s="218">
        <v>0</v>
      </c>
      <c r="D64" s="218">
        <v>0</v>
      </c>
      <c r="E64" s="222">
        <v>0</v>
      </c>
    </row>
    <row r="65" spans="1:5" ht="26.4" x14ac:dyDescent="0.25">
      <c r="A65" s="221" t="s">
        <v>644</v>
      </c>
      <c r="B65" s="217" t="s">
        <v>856</v>
      </c>
      <c r="C65" s="218">
        <v>19878368</v>
      </c>
      <c r="D65" s="218">
        <v>0</v>
      </c>
      <c r="E65" s="222">
        <v>13779768</v>
      </c>
    </row>
    <row r="66" spans="1:5" ht="26.4" x14ac:dyDescent="0.25">
      <c r="A66" s="221" t="s">
        <v>646</v>
      </c>
      <c r="B66" s="217" t="s">
        <v>857</v>
      </c>
      <c r="C66" s="218">
        <v>0</v>
      </c>
      <c r="D66" s="218">
        <v>0</v>
      </c>
      <c r="E66" s="222">
        <v>0</v>
      </c>
    </row>
    <row r="67" spans="1:5" ht="39.6" x14ac:dyDescent="0.25">
      <c r="A67" s="221" t="s">
        <v>648</v>
      </c>
      <c r="B67" s="217" t="s">
        <v>858</v>
      </c>
      <c r="C67" s="218">
        <v>0</v>
      </c>
      <c r="D67" s="218">
        <v>0</v>
      </c>
      <c r="E67" s="222">
        <v>0</v>
      </c>
    </row>
    <row r="68" spans="1:5" ht="39.6" x14ac:dyDescent="0.25">
      <c r="A68" s="221" t="s">
        <v>650</v>
      </c>
      <c r="B68" s="217" t="s">
        <v>859</v>
      </c>
      <c r="C68" s="218">
        <v>0</v>
      </c>
      <c r="D68" s="218">
        <v>0</v>
      </c>
      <c r="E68" s="222">
        <v>0</v>
      </c>
    </row>
    <row r="69" spans="1:5" ht="26.4" x14ac:dyDescent="0.25">
      <c r="A69" s="221" t="s">
        <v>652</v>
      </c>
      <c r="B69" s="217" t="s">
        <v>860</v>
      </c>
      <c r="C69" s="218">
        <v>2860340</v>
      </c>
      <c r="D69" s="218">
        <v>0</v>
      </c>
      <c r="E69" s="222">
        <v>2997065</v>
      </c>
    </row>
    <row r="70" spans="1:5" ht="26.4" x14ac:dyDescent="0.25">
      <c r="A70" s="221" t="s">
        <v>654</v>
      </c>
      <c r="B70" s="217" t="s">
        <v>861</v>
      </c>
      <c r="C70" s="218">
        <v>12349881</v>
      </c>
      <c r="D70" s="218">
        <v>0</v>
      </c>
      <c r="E70" s="222">
        <v>7744627</v>
      </c>
    </row>
    <row r="71" spans="1:5" ht="26.4" x14ac:dyDescent="0.25">
      <c r="A71" s="221" t="s">
        <v>656</v>
      </c>
      <c r="B71" s="217" t="s">
        <v>862</v>
      </c>
      <c r="C71" s="218">
        <v>4668147</v>
      </c>
      <c r="D71" s="218">
        <v>0</v>
      </c>
      <c r="E71" s="222">
        <v>3038076</v>
      </c>
    </row>
    <row r="72" spans="1:5" ht="26.4" x14ac:dyDescent="0.25">
      <c r="A72" s="221" t="s">
        <v>658</v>
      </c>
      <c r="B72" s="217" t="s">
        <v>863</v>
      </c>
      <c r="C72" s="218">
        <v>29145050</v>
      </c>
      <c r="D72" s="218">
        <v>0</v>
      </c>
      <c r="E72" s="222">
        <v>88992160</v>
      </c>
    </row>
    <row r="73" spans="1:5" ht="52.8" x14ac:dyDescent="0.25">
      <c r="A73" s="221" t="s">
        <v>660</v>
      </c>
      <c r="B73" s="217" t="s">
        <v>864</v>
      </c>
      <c r="C73" s="218">
        <v>16002309</v>
      </c>
      <c r="D73" s="218">
        <v>0</v>
      </c>
      <c r="E73" s="222">
        <v>25906570</v>
      </c>
    </row>
    <row r="74" spans="1:5" ht="26.4" x14ac:dyDescent="0.25">
      <c r="A74" s="221" t="s">
        <v>662</v>
      </c>
      <c r="B74" s="217" t="s">
        <v>865</v>
      </c>
      <c r="C74" s="218">
        <v>0</v>
      </c>
      <c r="D74" s="218">
        <v>0</v>
      </c>
      <c r="E74" s="222">
        <v>0</v>
      </c>
    </row>
    <row r="75" spans="1:5" ht="26.4" x14ac:dyDescent="0.25">
      <c r="A75" s="221" t="s">
        <v>664</v>
      </c>
      <c r="B75" s="217" t="s">
        <v>866</v>
      </c>
      <c r="C75" s="218">
        <v>5565504</v>
      </c>
      <c r="D75" s="218">
        <v>0</v>
      </c>
      <c r="E75" s="222">
        <v>5122853</v>
      </c>
    </row>
    <row r="76" spans="1:5" ht="26.4" x14ac:dyDescent="0.25">
      <c r="A76" s="221" t="s">
        <v>666</v>
      </c>
      <c r="B76" s="217" t="s">
        <v>867</v>
      </c>
      <c r="C76" s="218">
        <v>7566292</v>
      </c>
      <c r="D76" s="218">
        <v>0</v>
      </c>
      <c r="E76" s="222">
        <v>7956158</v>
      </c>
    </row>
    <row r="77" spans="1:5" ht="39.6" x14ac:dyDescent="0.25">
      <c r="A77" s="221" t="s">
        <v>668</v>
      </c>
      <c r="B77" s="217" t="s">
        <v>868</v>
      </c>
      <c r="C77" s="218">
        <v>0</v>
      </c>
      <c r="D77" s="218">
        <v>0</v>
      </c>
      <c r="E77" s="222">
        <v>0</v>
      </c>
    </row>
    <row r="78" spans="1:5" ht="39.6" x14ac:dyDescent="0.25">
      <c r="A78" s="221" t="s">
        <v>670</v>
      </c>
      <c r="B78" s="217" t="s">
        <v>869</v>
      </c>
      <c r="C78" s="218">
        <v>0</v>
      </c>
      <c r="D78" s="218">
        <v>0</v>
      </c>
      <c r="E78" s="222">
        <v>0</v>
      </c>
    </row>
    <row r="79" spans="1:5" ht="39.6" x14ac:dyDescent="0.25">
      <c r="A79" s="221" t="s">
        <v>672</v>
      </c>
      <c r="B79" s="217" t="s">
        <v>870</v>
      </c>
      <c r="C79" s="218">
        <v>0</v>
      </c>
      <c r="D79" s="218">
        <v>0</v>
      </c>
      <c r="E79" s="222">
        <v>0</v>
      </c>
    </row>
    <row r="80" spans="1:5" ht="26.4" x14ac:dyDescent="0.25">
      <c r="A80" s="221" t="s">
        <v>674</v>
      </c>
      <c r="B80" s="217" t="s">
        <v>871</v>
      </c>
      <c r="C80" s="218">
        <v>0</v>
      </c>
      <c r="D80" s="218">
        <v>0</v>
      </c>
      <c r="E80" s="222">
        <v>0</v>
      </c>
    </row>
    <row r="81" spans="1:5" ht="26.4" x14ac:dyDescent="0.25">
      <c r="A81" s="221" t="s">
        <v>676</v>
      </c>
      <c r="B81" s="217" t="s">
        <v>872</v>
      </c>
      <c r="C81" s="218">
        <v>10945</v>
      </c>
      <c r="D81" s="218">
        <v>0</v>
      </c>
      <c r="E81" s="222">
        <v>50006579</v>
      </c>
    </row>
    <row r="82" spans="1:5" ht="26.4" x14ac:dyDescent="0.25">
      <c r="A82" s="221" t="s">
        <v>678</v>
      </c>
      <c r="B82" s="217" t="s">
        <v>873</v>
      </c>
      <c r="C82" s="218">
        <v>18071924</v>
      </c>
      <c r="D82" s="218">
        <v>0</v>
      </c>
      <c r="E82" s="222">
        <v>7217628</v>
      </c>
    </row>
    <row r="83" spans="1:5" ht="26.4" x14ac:dyDescent="0.25">
      <c r="A83" s="221" t="s">
        <v>680</v>
      </c>
      <c r="B83" s="217" t="s">
        <v>874</v>
      </c>
      <c r="C83" s="218">
        <v>0</v>
      </c>
      <c r="D83" s="218">
        <v>0</v>
      </c>
      <c r="E83" s="222">
        <v>0</v>
      </c>
    </row>
    <row r="84" spans="1:5" ht="26.4" x14ac:dyDescent="0.25">
      <c r="A84" s="221" t="s">
        <v>682</v>
      </c>
      <c r="B84" s="217" t="s">
        <v>875</v>
      </c>
      <c r="C84" s="218">
        <v>18071924</v>
      </c>
      <c r="D84" s="218">
        <v>0</v>
      </c>
      <c r="E84" s="222">
        <v>7217628</v>
      </c>
    </row>
    <row r="85" spans="1:5" ht="39.6" x14ac:dyDescent="0.25">
      <c r="A85" s="221" t="s">
        <v>684</v>
      </c>
      <c r="B85" s="217" t="s">
        <v>876</v>
      </c>
      <c r="C85" s="218">
        <v>0</v>
      </c>
      <c r="D85" s="218">
        <v>0</v>
      </c>
      <c r="E85" s="222">
        <v>0</v>
      </c>
    </row>
    <row r="86" spans="1:5" ht="26.4" x14ac:dyDescent="0.25">
      <c r="A86" s="221" t="s">
        <v>686</v>
      </c>
      <c r="B86" s="217" t="s">
        <v>877</v>
      </c>
      <c r="C86" s="218">
        <v>0</v>
      </c>
      <c r="D86" s="218">
        <v>0</v>
      </c>
      <c r="E86" s="222">
        <v>0</v>
      </c>
    </row>
    <row r="87" spans="1:5" ht="39.6" x14ac:dyDescent="0.25">
      <c r="A87" s="221" t="s">
        <v>688</v>
      </c>
      <c r="B87" s="217" t="s">
        <v>878</v>
      </c>
      <c r="C87" s="218">
        <v>0</v>
      </c>
      <c r="D87" s="218">
        <v>0</v>
      </c>
      <c r="E87" s="222">
        <v>0</v>
      </c>
    </row>
    <row r="88" spans="1:5" ht="39.6" x14ac:dyDescent="0.25">
      <c r="A88" s="221" t="s">
        <v>690</v>
      </c>
      <c r="B88" s="217" t="s">
        <v>879</v>
      </c>
      <c r="C88" s="218">
        <v>3854082</v>
      </c>
      <c r="D88" s="218">
        <v>0</v>
      </c>
      <c r="E88" s="222">
        <v>3994082</v>
      </c>
    </row>
    <row r="89" spans="1:5" ht="52.8" x14ac:dyDescent="0.25">
      <c r="A89" s="221" t="s">
        <v>692</v>
      </c>
      <c r="B89" s="217" t="s">
        <v>880</v>
      </c>
      <c r="C89" s="218">
        <v>0</v>
      </c>
      <c r="D89" s="218">
        <v>0</v>
      </c>
      <c r="E89" s="222">
        <v>0</v>
      </c>
    </row>
    <row r="90" spans="1:5" ht="52.8" x14ac:dyDescent="0.25">
      <c r="A90" s="221" t="s">
        <v>694</v>
      </c>
      <c r="B90" s="217" t="s">
        <v>881</v>
      </c>
      <c r="C90" s="218">
        <v>0</v>
      </c>
      <c r="D90" s="218">
        <v>0</v>
      </c>
      <c r="E90" s="222">
        <v>0</v>
      </c>
    </row>
    <row r="91" spans="1:5" ht="52.8" x14ac:dyDescent="0.25">
      <c r="A91" s="221" t="s">
        <v>696</v>
      </c>
      <c r="B91" s="217" t="s">
        <v>882</v>
      </c>
      <c r="C91" s="218">
        <v>3854082</v>
      </c>
      <c r="D91" s="218">
        <v>0</v>
      </c>
      <c r="E91" s="222">
        <v>3994082</v>
      </c>
    </row>
    <row r="92" spans="1:5" ht="39.6" x14ac:dyDescent="0.25">
      <c r="A92" s="221" t="s">
        <v>698</v>
      </c>
      <c r="B92" s="217" t="s">
        <v>883</v>
      </c>
      <c r="C92" s="218">
        <v>2828000</v>
      </c>
      <c r="D92" s="218">
        <v>0</v>
      </c>
      <c r="E92" s="222">
        <v>3111089</v>
      </c>
    </row>
    <row r="93" spans="1:5" ht="52.8" x14ac:dyDescent="0.25">
      <c r="A93" s="221" t="s">
        <v>700</v>
      </c>
      <c r="B93" s="217" t="s">
        <v>884</v>
      </c>
      <c r="C93" s="218">
        <v>0</v>
      </c>
      <c r="D93" s="218">
        <v>0</v>
      </c>
      <c r="E93" s="222">
        <v>0</v>
      </c>
    </row>
    <row r="94" spans="1:5" ht="52.8" x14ac:dyDescent="0.25">
      <c r="A94" s="221" t="s">
        <v>702</v>
      </c>
      <c r="B94" s="217" t="s">
        <v>885</v>
      </c>
      <c r="C94" s="218">
        <v>0</v>
      </c>
      <c r="D94" s="218">
        <v>0</v>
      </c>
      <c r="E94" s="222">
        <v>0</v>
      </c>
    </row>
    <row r="95" spans="1:5" ht="52.8" x14ac:dyDescent="0.25">
      <c r="A95" s="221" t="s">
        <v>704</v>
      </c>
      <c r="B95" s="217" t="s">
        <v>886</v>
      </c>
      <c r="C95" s="218">
        <v>2828000</v>
      </c>
      <c r="D95" s="218">
        <v>0</v>
      </c>
      <c r="E95" s="222">
        <v>3111089</v>
      </c>
    </row>
    <row r="96" spans="1:5" ht="26.4" x14ac:dyDescent="0.25">
      <c r="A96" s="221" t="s">
        <v>706</v>
      </c>
      <c r="B96" s="217" t="s">
        <v>887</v>
      </c>
      <c r="C96" s="218">
        <v>0</v>
      </c>
      <c r="D96" s="218">
        <v>0</v>
      </c>
      <c r="E96" s="222">
        <v>0</v>
      </c>
    </row>
    <row r="97" spans="1:5" ht="39.6" x14ac:dyDescent="0.25">
      <c r="A97" s="221" t="s">
        <v>708</v>
      </c>
      <c r="B97" s="217" t="s">
        <v>888</v>
      </c>
      <c r="C97" s="218">
        <v>0</v>
      </c>
      <c r="D97" s="218">
        <v>0</v>
      </c>
      <c r="E97" s="222">
        <v>0</v>
      </c>
    </row>
    <row r="98" spans="1:5" ht="39.6" x14ac:dyDescent="0.25">
      <c r="A98" s="221" t="s">
        <v>710</v>
      </c>
      <c r="B98" s="217" t="s">
        <v>889</v>
      </c>
      <c r="C98" s="218">
        <v>0</v>
      </c>
      <c r="D98" s="218">
        <v>0</v>
      </c>
      <c r="E98" s="222">
        <v>0</v>
      </c>
    </row>
    <row r="99" spans="1:5" ht="39.6" x14ac:dyDescent="0.25">
      <c r="A99" s="221" t="s">
        <v>712</v>
      </c>
      <c r="B99" s="217" t="s">
        <v>890</v>
      </c>
      <c r="C99" s="218">
        <v>0</v>
      </c>
      <c r="D99" s="218">
        <v>0</v>
      </c>
      <c r="E99" s="222">
        <v>0</v>
      </c>
    </row>
    <row r="100" spans="1:5" ht="39.6" x14ac:dyDescent="0.25">
      <c r="A100" s="221" t="s">
        <v>714</v>
      </c>
      <c r="B100" s="217" t="s">
        <v>891</v>
      </c>
      <c r="C100" s="218">
        <v>0</v>
      </c>
      <c r="D100" s="218">
        <v>0</v>
      </c>
      <c r="E100" s="222">
        <v>0</v>
      </c>
    </row>
    <row r="101" spans="1:5" ht="39.6" x14ac:dyDescent="0.25">
      <c r="A101" s="221" t="s">
        <v>716</v>
      </c>
      <c r="B101" s="217" t="s">
        <v>892</v>
      </c>
      <c r="C101" s="218">
        <v>0</v>
      </c>
      <c r="D101" s="218">
        <v>0</v>
      </c>
      <c r="E101" s="222">
        <v>0</v>
      </c>
    </row>
    <row r="102" spans="1:5" ht="39.6" x14ac:dyDescent="0.25">
      <c r="A102" s="221" t="s">
        <v>718</v>
      </c>
      <c r="B102" s="217" t="s">
        <v>893</v>
      </c>
      <c r="C102" s="218">
        <v>0</v>
      </c>
      <c r="D102" s="218">
        <v>0</v>
      </c>
      <c r="E102" s="222">
        <v>0</v>
      </c>
    </row>
    <row r="103" spans="1:5" ht="39.6" x14ac:dyDescent="0.25">
      <c r="A103" s="221" t="s">
        <v>720</v>
      </c>
      <c r="B103" s="217" t="s">
        <v>894</v>
      </c>
      <c r="C103" s="218">
        <v>0</v>
      </c>
      <c r="D103" s="218">
        <v>0</v>
      </c>
      <c r="E103" s="222">
        <v>0</v>
      </c>
    </row>
    <row r="104" spans="1:5" ht="26.4" x14ac:dyDescent="0.25">
      <c r="A104" s="223" t="s">
        <v>722</v>
      </c>
      <c r="B104" s="219" t="s">
        <v>895</v>
      </c>
      <c r="C104" s="220">
        <v>74392391</v>
      </c>
      <c r="D104" s="220">
        <v>0</v>
      </c>
      <c r="E104" s="224">
        <v>117094727</v>
      </c>
    </row>
    <row r="105" spans="1:5" ht="39.6" x14ac:dyDescent="0.25">
      <c r="A105" s="221" t="s">
        <v>724</v>
      </c>
      <c r="B105" s="217" t="s">
        <v>896</v>
      </c>
      <c r="C105" s="218">
        <v>0</v>
      </c>
      <c r="D105" s="218">
        <v>0</v>
      </c>
      <c r="E105" s="222">
        <v>0</v>
      </c>
    </row>
    <row r="106" spans="1:5" ht="52.8" x14ac:dyDescent="0.25">
      <c r="A106" s="221" t="s">
        <v>726</v>
      </c>
      <c r="B106" s="217" t="s">
        <v>897</v>
      </c>
      <c r="C106" s="218">
        <v>0</v>
      </c>
      <c r="D106" s="218">
        <v>0</v>
      </c>
      <c r="E106" s="222">
        <v>0</v>
      </c>
    </row>
    <row r="107" spans="1:5" ht="39.6" x14ac:dyDescent="0.25">
      <c r="A107" s="221" t="s">
        <v>728</v>
      </c>
      <c r="B107" s="217" t="s">
        <v>898</v>
      </c>
      <c r="C107" s="218">
        <v>0</v>
      </c>
      <c r="D107" s="218">
        <v>0</v>
      </c>
      <c r="E107" s="222">
        <v>0</v>
      </c>
    </row>
    <row r="108" spans="1:5" ht="52.8" x14ac:dyDescent="0.25">
      <c r="A108" s="221" t="s">
        <v>730</v>
      </c>
      <c r="B108" s="217" t="s">
        <v>899</v>
      </c>
      <c r="C108" s="218">
        <v>0</v>
      </c>
      <c r="D108" s="218">
        <v>0</v>
      </c>
      <c r="E108" s="222">
        <v>0</v>
      </c>
    </row>
    <row r="109" spans="1:5" ht="39.6" x14ac:dyDescent="0.25">
      <c r="A109" s="221" t="s">
        <v>732</v>
      </c>
      <c r="B109" s="217" t="s">
        <v>900</v>
      </c>
      <c r="C109" s="218">
        <v>77614288</v>
      </c>
      <c r="D109" s="218">
        <v>0</v>
      </c>
      <c r="E109" s="222">
        <v>82435948</v>
      </c>
    </row>
    <row r="110" spans="1:5" ht="26.4" x14ac:dyDescent="0.25">
      <c r="A110" s="221" t="s">
        <v>734</v>
      </c>
      <c r="B110" s="217" t="s">
        <v>901</v>
      </c>
      <c r="C110" s="218">
        <v>0</v>
      </c>
      <c r="D110" s="218">
        <v>0</v>
      </c>
      <c r="E110" s="222">
        <v>0</v>
      </c>
    </row>
    <row r="111" spans="1:5" ht="39.6" x14ac:dyDescent="0.25">
      <c r="A111" s="221" t="s">
        <v>736</v>
      </c>
      <c r="B111" s="217" t="s">
        <v>902</v>
      </c>
      <c r="C111" s="218">
        <v>0</v>
      </c>
      <c r="D111" s="218">
        <v>0</v>
      </c>
      <c r="E111" s="222">
        <v>0</v>
      </c>
    </row>
    <row r="112" spans="1:5" ht="39.6" x14ac:dyDescent="0.25">
      <c r="A112" s="221" t="s">
        <v>738</v>
      </c>
      <c r="B112" s="217" t="s">
        <v>903</v>
      </c>
      <c r="C112" s="218">
        <v>0</v>
      </c>
      <c r="D112" s="218">
        <v>0</v>
      </c>
      <c r="E112" s="222">
        <v>0</v>
      </c>
    </row>
    <row r="113" spans="1:5" ht="26.4" x14ac:dyDescent="0.25">
      <c r="A113" s="221" t="s">
        <v>740</v>
      </c>
      <c r="B113" s="217" t="s">
        <v>904</v>
      </c>
      <c r="C113" s="218">
        <v>0</v>
      </c>
      <c r="D113" s="218">
        <v>0</v>
      </c>
      <c r="E113" s="222">
        <v>5000</v>
      </c>
    </row>
    <row r="114" spans="1:5" ht="39.6" x14ac:dyDescent="0.25">
      <c r="A114" s="221" t="s">
        <v>742</v>
      </c>
      <c r="B114" s="217" t="s">
        <v>905</v>
      </c>
      <c r="C114" s="218">
        <v>74541288</v>
      </c>
      <c r="D114" s="218">
        <v>0</v>
      </c>
      <c r="E114" s="222">
        <v>82430948</v>
      </c>
    </row>
    <row r="115" spans="1:5" ht="39.6" x14ac:dyDescent="0.25">
      <c r="A115" s="221" t="s">
        <v>744</v>
      </c>
      <c r="B115" s="217" t="s">
        <v>906</v>
      </c>
      <c r="C115" s="218">
        <v>3073000</v>
      </c>
      <c r="D115" s="218">
        <v>0</v>
      </c>
      <c r="E115" s="222">
        <v>0</v>
      </c>
    </row>
    <row r="116" spans="1:5" ht="39.6" x14ac:dyDescent="0.25">
      <c r="A116" s="221" t="s">
        <v>746</v>
      </c>
      <c r="B116" s="217" t="s">
        <v>907</v>
      </c>
      <c r="C116" s="218">
        <v>0</v>
      </c>
      <c r="D116" s="218">
        <v>0</v>
      </c>
      <c r="E116" s="222">
        <v>0</v>
      </c>
    </row>
    <row r="117" spans="1:5" ht="52.8" x14ac:dyDescent="0.25">
      <c r="A117" s="221" t="s">
        <v>748</v>
      </c>
      <c r="B117" s="217" t="s">
        <v>908</v>
      </c>
      <c r="C117" s="218">
        <v>0</v>
      </c>
      <c r="D117" s="218">
        <v>0</v>
      </c>
      <c r="E117" s="222">
        <v>0</v>
      </c>
    </row>
    <row r="118" spans="1:5" ht="26.4" x14ac:dyDescent="0.25">
      <c r="A118" s="221" t="s">
        <v>750</v>
      </c>
      <c r="B118" s="217" t="s">
        <v>909</v>
      </c>
      <c r="C118" s="218">
        <v>0</v>
      </c>
      <c r="D118" s="218">
        <v>0</v>
      </c>
      <c r="E118" s="222">
        <v>0</v>
      </c>
    </row>
    <row r="119" spans="1:5" ht="26.4" x14ac:dyDescent="0.25">
      <c r="A119" s="221" t="s">
        <v>752</v>
      </c>
      <c r="B119" s="217" t="s">
        <v>910</v>
      </c>
      <c r="C119" s="218">
        <v>0</v>
      </c>
      <c r="D119" s="218">
        <v>0</v>
      </c>
      <c r="E119" s="222">
        <v>0</v>
      </c>
    </row>
    <row r="120" spans="1:5" ht="39.6" x14ac:dyDescent="0.25">
      <c r="A120" s="221" t="s">
        <v>754</v>
      </c>
      <c r="B120" s="217" t="s">
        <v>911</v>
      </c>
      <c r="C120" s="218">
        <v>0</v>
      </c>
      <c r="D120" s="218">
        <v>0</v>
      </c>
      <c r="E120" s="222">
        <v>0</v>
      </c>
    </row>
    <row r="121" spans="1:5" ht="39.6" x14ac:dyDescent="0.25">
      <c r="A121" s="221" t="s">
        <v>756</v>
      </c>
      <c r="B121" s="217" t="s">
        <v>912</v>
      </c>
      <c r="C121" s="218">
        <v>0</v>
      </c>
      <c r="D121" s="218">
        <v>0</v>
      </c>
      <c r="E121" s="222">
        <v>0</v>
      </c>
    </row>
    <row r="122" spans="1:5" ht="39.6" x14ac:dyDescent="0.25">
      <c r="A122" s="221" t="s">
        <v>758</v>
      </c>
      <c r="B122" s="217" t="s">
        <v>913</v>
      </c>
      <c r="C122" s="218">
        <v>0</v>
      </c>
      <c r="D122" s="218">
        <v>0</v>
      </c>
      <c r="E122" s="222">
        <v>0</v>
      </c>
    </row>
    <row r="123" spans="1:5" ht="39.6" x14ac:dyDescent="0.25">
      <c r="A123" s="221" t="s">
        <v>760</v>
      </c>
      <c r="B123" s="217" t="s">
        <v>914</v>
      </c>
      <c r="C123" s="218">
        <v>0</v>
      </c>
      <c r="D123" s="218">
        <v>0</v>
      </c>
      <c r="E123" s="222">
        <v>0</v>
      </c>
    </row>
    <row r="124" spans="1:5" ht="39.6" x14ac:dyDescent="0.25">
      <c r="A124" s="221" t="s">
        <v>762</v>
      </c>
      <c r="B124" s="217" t="s">
        <v>915</v>
      </c>
      <c r="C124" s="218">
        <v>0</v>
      </c>
      <c r="D124" s="218">
        <v>0</v>
      </c>
      <c r="E124" s="222">
        <v>0</v>
      </c>
    </row>
    <row r="125" spans="1:5" ht="39.6" x14ac:dyDescent="0.25">
      <c r="A125" s="221" t="s">
        <v>764</v>
      </c>
      <c r="B125" s="217" t="s">
        <v>916</v>
      </c>
      <c r="C125" s="218">
        <v>0</v>
      </c>
      <c r="D125" s="218">
        <v>0</v>
      </c>
      <c r="E125" s="222">
        <v>0</v>
      </c>
    </row>
    <row r="126" spans="1:5" ht="39.6" x14ac:dyDescent="0.25">
      <c r="A126" s="221" t="s">
        <v>766</v>
      </c>
      <c r="B126" s="217" t="s">
        <v>917</v>
      </c>
      <c r="C126" s="218">
        <v>0</v>
      </c>
      <c r="D126" s="218">
        <v>0</v>
      </c>
      <c r="E126" s="222">
        <v>0</v>
      </c>
    </row>
    <row r="127" spans="1:5" ht="39.6" x14ac:dyDescent="0.25">
      <c r="A127" s="221" t="s">
        <v>768</v>
      </c>
      <c r="B127" s="217" t="s">
        <v>918</v>
      </c>
      <c r="C127" s="218">
        <v>0</v>
      </c>
      <c r="D127" s="218">
        <v>0</v>
      </c>
      <c r="E127" s="222">
        <v>0</v>
      </c>
    </row>
    <row r="128" spans="1:5" ht="26.4" x14ac:dyDescent="0.25">
      <c r="A128" s="221" t="s">
        <v>770</v>
      </c>
      <c r="B128" s="217" t="s">
        <v>919</v>
      </c>
      <c r="C128" s="218">
        <v>0</v>
      </c>
      <c r="D128" s="218">
        <v>0</v>
      </c>
      <c r="E128" s="222">
        <v>0</v>
      </c>
    </row>
    <row r="129" spans="1:5" ht="39.6" x14ac:dyDescent="0.25">
      <c r="A129" s="221" t="s">
        <v>920</v>
      </c>
      <c r="B129" s="217" t="s">
        <v>921</v>
      </c>
      <c r="C129" s="218">
        <v>0</v>
      </c>
      <c r="D129" s="218">
        <v>0</v>
      </c>
      <c r="E129" s="222">
        <v>0</v>
      </c>
    </row>
    <row r="130" spans="1:5" ht="39.6" x14ac:dyDescent="0.25">
      <c r="A130" s="221" t="s">
        <v>922</v>
      </c>
      <c r="B130" s="217" t="s">
        <v>923</v>
      </c>
      <c r="C130" s="218">
        <v>0</v>
      </c>
      <c r="D130" s="218">
        <v>0</v>
      </c>
      <c r="E130" s="222">
        <v>0</v>
      </c>
    </row>
    <row r="131" spans="1:5" ht="39.6" x14ac:dyDescent="0.25">
      <c r="A131" s="221" t="s">
        <v>924</v>
      </c>
      <c r="B131" s="217" t="s">
        <v>925</v>
      </c>
      <c r="C131" s="218">
        <v>0</v>
      </c>
      <c r="D131" s="218">
        <v>0</v>
      </c>
      <c r="E131" s="222">
        <v>0</v>
      </c>
    </row>
    <row r="132" spans="1:5" ht="39.6" x14ac:dyDescent="0.25">
      <c r="A132" s="221" t="s">
        <v>926</v>
      </c>
      <c r="B132" s="217" t="s">
        <v>927</v>
      </c>
      <c r="C132" s="218">
        <v>0</v>
      </c>
      <c r="D132" s="218">
        <v>0</v>
      </c>
      <c r="E132" s="222">
        <v>0</v>
      </c>
    </row>
    <row r="133" spans="1:5" ht="52.8" x14ac:dyDescent="0.25">
      <c r="A133" s="221" t="s">
        <v>928</v>
      </c>
      <c r="B133" s="217" t="s">
        <v>929</v>
      </c>
      <c r="C133" s="218">
        <v>0</v>
      </c>
      <c r="D133" s="218">
        <v>0</v>
      </c>
      <c r="E133" s="222">
        <v>0</v>
      </c>
    </row>
    <row r="134" spans="1:5" ht="66" x14ac:dyDescent="0.25">
      <c r="A134" s="221" t="s">
        <v>930</v>
      </c>
      <c r="B134" s="217" t="s">
        <v>931</v>
      </c>
      <c r="C134" s="218">
        <v>0</v>
      </c>
      <c r="D134" s="218">
        <v>0</v>
      </c>
      <c r="E134" s="222">
        <v>0</v>
      </c>
    </row>
    <row r="135" spans="1:5" ht="52.8" x14ac:dyDescent="0.25">
      <c r="A135" s="221" t="s">
        <v>932</v>
      </c>
      <c r="B135" s="217" t="s">
        <v>933</v>
      </c>
      <c r="C135" s="218">
        <v>0</v>
      </c>
      <c r="D135" s="218">
        <v>0</v>
      </c>
      <c r="E135" s="222">
        <v>0</v>
      </c>
    </row>
    <row r="136" spans="1:5" ht="39.6" x14ac:dyDescent="0.25">
      <c r="A136" s="221" t="s">
        <v>934</v>
      </c>
      <c r="B136" s="217" t="s">
        <v>935</v>
      </c>
      <c r="C136" s="218">
        <v>0</v>
      </c>
      <c r="D136" s="218">
        <v>0</v>
      </c>
      <c r="E136" s="222">
        <v>0</v>
      </c>
    </row>
    <row r="137" spans="1:5" ht="52.8" x14ac:dyDescent="0.25">
      <c r="A137" s="221" t="s">
        <v>936</v>
      </c>
      <c r="B137" s="217" t="s">
        <v>937</v>
      </c>
      <c r="C137" s="218">
        <v>0</v>
      </c>
      <c r="D137" s="218">
        <v>0</v>
      </c>
      <c r="E137" s="222">
        <v>0</v>
      </c>
    </row>
    <row r="138" spans="1:5" ht="66" x14ac:dyDescent="0.25">
      <c r="A138" s="221" t="s">
        <v>938</v>
      </c>
      <c r="B138" s="217" t="s">
        <v>939</v>
      </c>
      <c r="C138" s="218">
        <v>0</v>
      </c>
      <c r="D138" s="218">
        <v>0</v>
      </c>
      <c r="E138" s="222">
        <v>0</v>
      </c>
    </row>
    <row r="139" spans="1:5" ht="52.8" x14ac:dyDescent="0.25">
      <c r="A139" s="221" t="s">
        <v>940</v>
      </c>
      <c r="B139" s="217" t="s">
        <v>941</v>
      </c>
      <c r="C139" s="218">
        <v>0</v>
      </c>
      <c r="D139" s="218">
        <v>0</v>
      </c>
      <c r="E139" s="222">
        <v>0</v>
      </c>
    </row>
    <row r="140" spans="1:5" ht="39.6" x14ac:dyDescent="0.25">
      <c r="A140" s="221" t="s">
        <v>942</v>
      </c>
      <c r="B140" s="217" t="s">
        <v>943</v>
      </c>
      <c r="C140" s="218">
        <v>0</v>
      </c>
      <c r="D140" s="218">
        <v>0</v>
      </c>
      <c r="E140" s="222">
        <v>0</v>
      </c>
    </row>
    <row r="141" spans="1:5" ht="39.6" x14ac:dyDescent="0.25">
      <c r="A141" s="221" t="s">
        <v>944</v>
      </c>
      <c r="B141" s="217" t="s">
        <v>945</v>
      </c>
      <c r="C141" s="218">
        <v>0</v>
      </c>
      <c r="D141" s="218">
        <v>0</v>
      </c>
      <c r="E141" s="222">
        <v>0</v>
      </c>
    </row>
    <row r="142" spans="1:5" ht="39.6" x14ac:dyDescent="0.25">
      <c r="A142" s="221" t="s">
        <v>946</v>
      </c>
      <c r="B142" s="217" t="s">
        <v>947</v>
      </c>
      <c r="C142" s="218">
        <v>0</v>
      </c>
      <c r="D142" s="218">
        <v>0</v>
      </c>
      <c r="E142" s="222">
        <v>0</v>
      </c>
    </row>
    <row r="143" spans="1:5" ht="39.6" x14ac:dyDescent="0.25">
      <c r="A143" s="221" t="s">
        <v>948</v>
      </c>
      <c r="B143" s="217" t="s">
        <v>949</v>
      </c>
      <c r="C143" s="218">
        <v>0</v>
      </c>
      <c r="D143" s="218">
        <v>0</v>
      </c>
      <c r="E143" s="222">
        <v>0</v>
      </c>
    </row>
    <row r="144" spans="1:5" ht="39.6" x14ac:dyDescent="0.25">
      <c r="A144" s="221" t="s">
        <v>950</v>
      </c>
      <c r="B144" s="217" t="s">
        <v>951</v>
      </c>
      <c r="C144" s="218">
        <v>0</v>
      </c>
      <c r="D144" s="218">
        <v>0</v>
      </c>
      <c r="E144" s="222">
        <v>0</v>
      </c>
    </row>
    <row r="145" spans="1:5" ht="26.4" x14ac:dyDescent="0.25">
      <c r="A145" s="223" t="s">
        <v>952</v>
      </c>
      <c r="B145" s="219" t="s">
        <v>953</v>
      </c>
      <c r="C145" s="220">
        <v>77614288</v>
      </c>
      <c r="D145" s="220">
        <v>0</v>
      </c>
      <c r="E145" s="224">
        <v>82435948</v>
      </c>
    </row>
    <row r="146" spans="1:5" x14ac:dyDescent="0.25">
      <c r="A146" s="221" t="s">
        <v>954</v>
      </c>
      <c r="B146" s="217" t="s">
        <v>955</v>
      </c>
      <c r="C146" s="218">
        <v>15297852</v>
      </c>
      <c r="D146" s="218">
        <v>0</v>
      </c>
      <c r="E146" s="222">
        <v>9032769</v>
      </c>
    </row>
    <row r="147" spans="1:5" ht="26.4" x14ac:dyDescent="0.25">
      <c r="A147" s="221" t="s">
        <v>956</v>
      </c>
      <c r="B147" s="217" t="s">
        <v>957</v>
      </c>
      <c r="C147" s="218">
        <v>0</v>
      </c>
      <c r="D147" s="218">
        <v>0</v>
      </c>
      <c r="E147" s="222">
        <v>0</v>
      </c>
    </row>
    <row r="148" spans="1:5" ht="26.4" x14ac:dyDescent="0.25">
      <c r="A148" s="221" t="s">
        <v>958</v>
      </c>
      <c r="B148" s="217" t="s">
        <v>959</v>
      </c>
      <c r="C148" s="218">
        <v>0</v>
      </c>
      <c r="D148" s="218">
        <v>0</v>
      </c>
      <c r="E148" s="222">
        <v>0</v>
      </c>
    </row>
    <row r="149" spans="1:5" x14ac:dyDescent="0.25">
      <c r="A149" s="221" t="s">
        <v>960</v>
      </c>
      <c r="B149" s="217" t="s">
        <v>961</v>
      </c>
      <c r="C149" s="218">
        <v>0</v>
      </c>
      <c r="D149" s="218">
        <v>0</v>
      </c>
      <c r="E149" s="222">
        <v>0</v>
      </c>
    </row>
    <row r="150" spans="1:5" ht="26.4" x14ac:dyDescent="0.25">
      <c r="A150" s="221" t="s">
        <v>962</v>
      </c>
      <c r="B150" s="217" t="s">
        <v>963</v>
      </c>
      <c r="C150" s="218">
        <v>0</v>
      </c>
      <c r="D150" s="218">
        <v>0</v>
      </c>
      <c r="E150" s="222">
        <v>0</v>
      </c>
    </row>
    <row r="151" spans="1:5" ht="26.4" x14ac:dyDescent="0.25">
      <c r="A151" s="221" t="s">
        <v>964</v>
      </c>
      <c r="B151" s="217" t="s">
        <v>965</v>
      </c>
      <c r="C151" s="218">
        <v>15297852</v>
      </c>
      <c r="D151" s="218">
        <v>0</v>
      </c>
      <c r="E151" s="222">
        <v>9032769</v>
      </c>
    </row>
    <row r="152" spans="1:5" ht="26.4" x14ac:dyDescent="0.25">
      <c r="A152" s="221" t="s">
        <v>966</v>
      </c>
      <c r="B152" s="217" t="s">
        <v>967</v>
      </c>
      <c r="C152" s="218">
        <v>0</v>
      </c>
      <c r="D152" s="218">
        <v>0</v>
      </c>
      <c r="E152" s="222">
        <v>0</v>
      </c>
    </row>
    <row r="153" spans="1:5" ht="26.4" x14ac:dyDescent="0.25">
      <c r="A153" s="221" t="s">
        <v>968</v>
      </c>
      <c r="B153" s="217" t="s">
        <v>969</v>
      </c>
      <c r="C153" s="218">
        <v>0</v>
      </c>
      <c r="D153" s="218">
        <v>0</v>
      </c>
      <c r="E153" s="222">
        <v>0</v>
      </c>
    </row>
    <row r="154" spans="1:5" x14ac:dyDescent="0.25">
      <c r="A154" s="221" t="s">
        <v>970</v>
      </c>
      <c r="B154" s="217" t="s">
        <v>971</v>
      </c>
      <c r="C154" s="218">
        <v>0</v>
      </c>
      <c r="D154" s="218">
        <v>0</v>
      </c>
      <c r="E154" s="222">
        <v>0</v>
      </c>
    </row>
    <row r="155" spans="1:5" x14ac:dyDescent="0.25">
      <c r="A155" s="221" t="s">
        <v>972</v>
      </c>
      <c r="B155" s="217" t="s">
        <v>973</v>
      </c>
      <c r="C155" s="218">
        <v>74577</v>
      </c>
      <c r="D155" s="218">
        <v>0</v>
      </c>
      <c r="E155" s="222">
        <v>350000</v>
      </c>
    </row>
    <row r="156" spans="1:5" ht="26.4" x14ac:dyDescent="0.25">
      <c r="A156" s="221" t="s">
        <v>974</v>
      </c>
      <c r="B156" s="217" t="s">
        <v>975</v>
      </c>
      <c r="C156" s="218">
        <v>0</v>
      </c>
      <c r="D156" s="218">
        <v>0</v>
      </c>
      <c r="E156" s="222">
        <v>0</v>
      </c>
    </row>
    <row r="157" spans="1:5" ht="39.6" x14ac:dyDescent="0.25">
      <c r="A157" s="221" t="s">
        <v>976</v>
      </c>
      <c r="B157" s="217" t="s">
        <v>977</v>
      </c>
      <c r="C157" s="218">
        <v>0</v>
      </c>
      <c r="D157" s="218">
        <v>0</v>
      </c>
      <c r="E157" s="222">
        <v>0</v>
      </c>
    </row>
    <row r="158" spans="1:5" ht="39.6" x14ac:dyDescent="0.25">
      <c r="A158" s="221" t="s">
        <v>978</v>
      </c>
      <c r="B158" s="217" t="s">
        <v>979</v>
      </c>
      <c r="C158" s="218">
        <v>0</v>
      </c>
      <c r="D158" s="218">
        <v>0</v>
      </c>
      <c r="E158" s="222">
        <v>0</v>
      </c>
    </row>
    <row r="159" spans="1:5" ht="26.4" x14ac:dyDescent="0.25">
      <c r="A159" s="221" t="s">
        <v>980</v>
      </c>
      <c r="B159" s="217" t="s">
        <v>981</v>
      </c>
      <c r="C159" s="218">
        <v>0</v>
      </c>
      <c r="D159" s="218">
        <v>0</v>
      </c>
      <c r="E159" s="222">
        <v>0</v>
      </c>
    </row>
    <row r="160" spans="1:5" ht="26.4" x14ac:dyDescent="0.25">
      <c r="A160" s="221" t="s">
        <v>982</v>
      </c>
      <c r="B160" s="217" t="s">
        <v>983</v>
      </c>
      <c r="C160" s="218">
        <v>0</v>
      </c>
      <c r="D160" s="218">
        <v>0</v>
      </c>
      <c r="E160" s="222">
        <v>0</v>
      </c>
    </row>
    <row r="161" spans="1:5" ht="26.4" x14ac:dyDescent="0.25">
      <c r="A161" s="223" t="s">
        <v>984</v>
      </c>
      <c r="B161" s="219" t="s">
        <v>985</v>
      </c>
      <c r="C161" s="220">
        <v>15372429</v>
      </c>
      <c r="D161" s="220">
        <v>0</v>
      </c>
      <c r="E161" s="224">
        <v>9382769</v>
      </c>
    </row>
    <row r="162" spans="1:5" x14ac:dyDescent="0.25">
      <c r="A162" s="223" t="s">
        <v>986</v>
      </c>
      <c r="B162" s="219" t="s">
        <v>987</v>
      </c>
      <c r="C162" s="220">
        <v>167379108</v>
      </c>
      <c r="D162" s="220">
        <v>0</v>
      </c>
      <c r="E162" s="224">
        <v>208913444</v>
      </c>
    </row>
    <row r="163" spans="1:5" ht="26.4" x14ac:dyDescent="0.25">
      <c r="A163" s="221" t="s">
        <v>988</v>
      </c>
      <c r="B163" s="217" t="s">
        <v>989</v>
      </c>
      <c r="C163" s="218">
        <v>0</v>
      </c>
      <c r="D163" s="218">
        <v>0</v>
      </c>
      <c r="E163" s="222">
        <v>0</v>
      </c>
    </row>
    <row r="164" spans="1:5" ht="26.4" x14ac:dyDescent="0.25">
      <c r="A164" s="221" t="s">
        <v>990</v>
      </c>
      <c r="B164" s="217" t="s">
        <v>991</v>
      </c>
      <c r="C164" s="218">
        <v>2881505</v>
      </c>
      <c r="D164" s="218">
        <v>0</v>
      </c>
      <c r="E164" s="222">
        <v>8155101</v>
      </c>
    </row>
    <row r="165" spans="1:5" ht="26.4" x14ac:dyDescent="0.25">
      <c r="A165" s="221" t="s">
        <v>992</v>
      </c>
      <c r="B165" s="217" t="s">
        <v>993</v>
      </c>
      <c r="C165" s="218">
        <v>473001</v>
      </c>
      <c r="D165" s="218">
        <v>0</v>
      </c>
      <c r="E165" s="222">
        <v>0</v>
      </c>
    </row>
    <row r="166" spans="1:5" ht="26.4" x14ac:dyDescent="0.25">
      <c r="A166" s="221" t="s">
        <v>994</v>
      </c>
      <c r="B166" s="217" t="s">
        <v>995</v>
      </c>
      <c r="C166" s="218">
        <v>0</v>
      </c>
      <c r="D166" s="218">
        <v>0</v>
      </c>
      <c r="E166" s="222">
        <v>0</v>
      </c>
    </row>
    <row r="167" spans="1:5" ht="26.4" x14ac:dyDescent="0.25">
      <c r="A167" s="223" t="s">
        <v>996</v>
      </c>
      <c r="B167" s="219" t="s">
        <v>997</v>
      </c>
      <c r="C167" s="220">
        <v>3354506</v>
      </c>
      <c r="D167" s="220">
        <v>0</v>
      </c>
      <c r="E167" s="224">
        <v>8155101</v>
      </c>
    </row>
    <row r="168" spans="1:5" ht="26.4" x14ac:dyDescent="0.25">
      <c r="A168" s="221" t="s">
        <v>998</v>
      </c>
      <c r="B168" s="217" t="s">
        <v>999</v>
      </c>
      <c r="C168" s="218">
        <v>0</v>
      </c>
      <c r="D168" s="218">
        <v>0</v>
      </c>
      <c r="E168" s="222">
        <v>0</v>
      </c>
    </row>
    <row r="169" spans="1:5" x14ac:dyDescent="0.25">
      <c r="A169" s="221" t="s">
        <v>1000</v>
      </c>
      <c r="B169" s="217" t="s">
        <v>1001</v>
      </c>
      <c r="C169" s="218">
        <v>-13992507</v>
      </c>
      <c r="D169" s="218">
        <v>0</v>
      </c>
      <c r="E169" s="222">
        <v>-7245797</v>
      </c>
    </row>
    <row r="170" spans="1:5" ht="26.4" x14ac:dyDescent="0.25">
      <c r="A170" s="223" t="s">
        <v>1002</v>
      </c>
      <c r="B170" s="219" t="s">
        <v>1003</v>
      </c>
      <c r="C170" s="220">
        <v>-13992507</v>
      </c>
      <c r="D170" s="220">
        <v>0</v>
      </c>
      <c r="E170" s="224">
        <v>-7245797</v>
      </c>
    </row>
    <row r="171" spans="1:5" ht="26.4" x14ac:dyDescent="0.25">
      <c r="A171" s="221" t="s">
        <v>1004</v>
      </c>
      <c r="B171" s="217" t="s">
        <v>1005</v>
      </c>
      <c r="C171" s="218">
        <v>0</v>
      </c>
      <c r="D171" s="218">
        <v>0</v>
      </c>
      <c r="E171" s="222">
        <v>0</v>
      </c>
    </row>
    <row r="172" spans="1:5" ht="39.6" x14ac:dyDescent="0.25">
      <c r="A172" s="221" t="s">
        <v>1006</v>
      </c>
      <c r="B172" s="217" t="s">
        <v>1007</v>
      </c>
      <c r="C172" s="218">
        <v>0</v>
      </c>
      <c r="D172" s="218">
        <v>0</v>
      </c>
      <c r="E172" s="222">
        <v>0</v>
      </c>
    </row>
    <row r="173" spans="1:5" ht="26.4" x14ac:dyDescent="0.25">
      <c r="A173" s="223" t="s">
        <v>1008</v>
      </c>
      <c r="B173" s="219" t="s">
        <v>1009</v>
      </c>
      <c r="C173" s="220">
        <v>0</v>
      </c>
      <c r="D173" s="220">
        <v>0</v>
      </c>
      <c r="E173" s="224">
        <v>0</v>
      </c>
    </row>
    <row r="174" spans="1:5" ht="26.4" x14ac:dyDescent="0.25">
      <c r="A174" s="223" t="s">
        <v>1010</v>
      </c>
      <c r="B174" s="219" t="s">
        <v>1011</v>
      </c>
      <c r="C174" s="220">
        <v>-10638001</v>
      </c>
      <c r="D174" s="220">
        <v>0</v>
      </c>
      <c r="E174" s="224">
        <v>909304</v>
      </c>
    </row>
    <row r="175" spans="1:5" ht="26.4" x14ac:dyDescent="0.25">
      <c r="A175" s="221" t="s">
        <v>1012</v>
      </c>
      <c r="B175" s="217" t="s">
        <v>1013</v>
      </c>
      <c r="C175" s="218">
        <v>0</v>
      </c>
      <c r="D175" s="218">
        <v>0</v>
      </c>
      <c r="E175" s="222">
        <v>0</v>
      </c>
    </row>
    <row r="176" spans="1:5" ht="26.4" x14ac:dyDescent="0.25">
      <c r="A176" s="221" t="s">
        <v>1014</v>
      </c>
      <c r="B176" s="217" t="s">
        <v>1015</v>
      </c>
      <c r="C176" s="218">
        <v>0</v>
      </c>
      <c r="D176" s="218">
        <v>0</v>
      </c>
      <c r="E176" s="222">
        <v>0</v>
      </c>
    </row>
    <row r="177" spans="1:5" x14ac:dyDescent="0.25">
      <c r="A177" s="221" t="s">
        <v>1016</v>
      </c>
      <c r="B177" s="217" t="s">
        <v>1017</v>
      </c>
      <c r="C177" s="218">
        <v>0</v>
      </c>
      <c r="D177" s="218">
        <v>0</v>
      </c>
      <c r="E177" s="222">
        <v>0</v>
      </c>
    </row>
    <row r="178" spans="1:5" ht="27" thickBot="1" x14ac:dyDescent="0.3">
      <c r="A178" s="244" t="s">
        <v>1018</v>
      </c>
      <c r="B178" s="245" t="s">
        <v>1019</v>
      </c>
      <c r="C178" s="246">
        <v>0</v>
      </c>
      <c r="D178" s="246">
        <v>0</v>
      </c>
      <c r="E178" s="247">
        <v>0</v>
      </c>
    </row>
    <row r="179" spans="1:5" ht="20.399999999999999" customHeight="1" thickBot="1" x14ac:dyDescent="0.3">
      <c r="A179" s="252" t="s">
        <v>1020</v>
      </c>
      <c r="B179" s="253" t="s">
        <v>1021</v>
      </c>
      <c r="C179" s="254">
        <v>7280035588</v>
      </c>
      <c r="D179" s="254">
        <v>0</v>
      </c>
      <c r="E179" s="255">
        <v>7323924898</v>
      </c>
    </row>
    <row r="180" spans="1:5" x14ac:dyDescent="0.25">
      <c r="A180" s="228" t="s">
        <v>1022</v>
      </c>
      <c r="B180" s="229" t="s">
        <v>1023</v>
      </c>
      <c r="C180" s="230">
        <v>1801242944</v>
      </c>
      <c r="D180" s="230">
        <v>0</v>
      </c>
      <c r="E180" s="231">
        <v>1801242944</v>
      </c>
    </row>
    <row r="181" spans="1:5" x14ac:dyDescent="0.25">
      <c r="A181" s="221" t="s">
        <v>1024</v>
      </c>
      <c r="B181" s="217" t="s">
        <v>1025</v>
      </c>
      <c r="C181" s="218">
        <v>1420616051</v>
      </c>
      <c r="D181" s="218">
        <v>0</v>
      </c>
      <c r="E181" s="222">
        <v>1434641766</v>
      </c>
    </row>
    <row r="182" spans="1:5" ht="26.4" x14ac:dyDescent="0.25">
      <c r="A182" s="221" t="s">
        <v>1026</v>
      </c>
      <c r="B182" s="217" t="s">
        <v>1027</v>
      </c>
      <c r="C182" s="218">
        <v>49906197</v>
      </c>
      <c r="D182" s="218">
        <v>0</v>
      </c>
      <c r="E182" s="222">
        <v>49932024</v>
      </c>
    </row>
    <row r="183" spans="1:5" x14ac:dyDescent="0.25">
      <c r="A183" s="221" t="s">
        <v>1028</v>
      </c>
      <c r="B183" s="217" t="s">
        <v>1029</v>
      </c>
      <c r="C183" s="218">
        <v>1900566542</v>
      </c>
      <c r="D183" s="218">
        <v>0</v>
      </c>
      <c r="E183" s="222">
        <v>1952001254</v>
      </c>
    </row>
    <row r="184" spans="1:5" x14ac:dyDescent="0.25">
      <c r="A184" s="221" t="s">
        <v>1030</v>
      </c>
      <c r="B184" s="217" t="s">
        <v>1031</v>
      </c>
      <c r="C184" s="218">
        <v>0</v>
      </c>
      <c r="D184" s="218">
        <v>0</v>
      </c>
      <c r="E184" s="222">
        <v>0</v>
      </c>
    </row>
    <row r="185" spans="1:5" x14ac:dyDescent="0.25">
      <c r="A185" s="221" t="s">
        <v>1032</v>
      </c>
      <c r="B185" s="217" t="s">
        <v>1033</v>
      </c>
      <c r="C185" s="218">
        <v>51460539</v>
      </c>
      <c r="D185" s="218">
        <v>0</v>
      </c>
      <c r="E185" s="222">
        <v>-28811036</v>
      </c>
    </row>
    <row r="186" spans="1:5" x14ac:dyDescent="0.25">
      <c r="A186" s="223" t="s">
        <v>1034</v>
      </c>
      <c r="B186" s="219" t="s">
        <v>1035</v>
      </c>
      <c r="C186" s="220">
        <v>5223792273</v>
      </c>
      <c r="D186" s="220">
        <v>0</v>
      </c>
      <c r="E186" s="224">
        <v>5209006952</v>
      </c>
    </row>
    <row r="187" spans="1:5" ht="26.4" x14ac:dyDescent="0.25">
      <c r="A187" s="221" t="s">
        <v>1036</v>
      </c>
      <c r="B187" s="217" t="s">
        <v>1037</v>
      </c>
      <c r="C187" s="218">
        <v>46457</v>
      </c>
      <c r="D187" s="218">
        <v>0</v>
      </c>
      <c r="E187" s="222">
        <v>0</v>
      </c>
    </row>
    <row r="188" spans="1:5" ht="39.6" x14ac:dyDescent="0.25">
      <c r="A188" s="221" t="s">
        <v>1038</v>
      </c>
      <c r="B188" s="217" t="s">
        <v>1039</v>
      </c>
      <c r="C188" s="218">
        <v>20412</v>
      </c>
      <c r="D188" s="218">
        <v>0</v>
      </c>
      <c r="E188" s="222">
        <v>0</v>
      </c>
    </row>
    <row r="189" spans="1:5" ht="26.4" x14ac:dyDescent="0.25">
      <c r="A189" s="221" t="s">
        <v>1040</v>
      </c>
      <c r="B189" s="217" t="s">
        <v>1041</v>
      </c>
      <c r="C189" s="218">
        <v>9401624</v>
      </c>
      <c r="D189" s="218">
        <v>0</v>
      </c>
      <c r="E189" s="222">
        <v>5072770</v>
      </c>
    </row>
    <row r="190" spans="1:5" ht="26.4" x14ac:dyDescent="0.25">
      <c r="A190" s="221" t="s">
        <v>1042</v>
      </c>
      <c r="B190" s="217" t="s">
        <v>1043</v>
      </c>
      <c r="C190" s="218">
        <v>1198545</v>
      </c>
      <c r="D190" s="218">
        <v>0</v>
      </c>
      <c r="E190" s="222">
        <v>1257551</v>
      </c>
    </row>
    <row r="191" spans="1:5" ht="39.6" x14ac:dyDescent="0.25">
      <c r="A191" s="221" t="s">
        <v>1044</v>
      </c>
      <c r="B191" s="217" t="s">
        <v>1045</v>
      </c>
      <c r="C191" s="218">
        <v>18000</v>
      </c>
      <c r="D191" s="218">
        <v>0</v>
      </c>
      <c r="E191" s="222">
        <v>30000</v>
      </c>
    </row>
    <row r="192" spans="1:5" ht="52.8" x14ac:dyDescent="0.25">
      <c r="A192" s="221" t="s">
        <v>1046</v>
      </c>
      <c r="B192" s="217" t="s">
        <v>1047</v>
      </c>
      <c r="C192" s="218">
        <v>0</v>
      </c>
      <c r="D192" s="218">
        <v>0</v>
      </c>
      <c r="E192" s="222">
        <v>0</v>
      </c>
    </row>
    <row r="193" spans="1:5" ht="39.6" x14ac:dyDescent="0.25">
      <c r="A193" s="221" t="s">
        <v>1048</v>
      </c>
      <c r="B193" s="217" t="s">
        <v>1049</v>
      </c>
      <c r="C193" s="218">
        <v>0</v>
      </c>
      <c r="D193" s="218">
        <v>0</v>
      </c>
      <c r="E193" s="222">
        <v>0</v>
      </c>
    </row>
    <row r="194" spans="1:5" ht="26.4" x14ac:dyDescent="0.25">
      <c r="A194" s="221" t="s">
        <v>1050</v>
      </c>
      <c r="B194" s="217" t="s">
        <v>1051</v>
      </c>
      <c r="C194" s="218">
        <v>42331905</v>
      </c>
      <c r="D194" s="218">
        <v>0</v>
      </c>
      <c r="E194" s="222">
        <v>515620</v>
      </c>
    </row>
    <row r="195" spans="1:5" ht="26.4" x14ac:dyDescent="0.25">
      <c r="A195" s="221" t="s">
        <v>1052</v>
      </c>
      <c r="B195" s="217" t="s">
        <v>1053</v>
      </c>
      <c r="C195" s="218">
        <v>0</v>
      </c>
      <c r="D195" s="218">
        <v>0</v>
      </c>
      <c r="E195" s="222">
        <v>0</v>
      </c>
    </row>
    <row r="196" spans="1:5" ht="39.6" x14ac:dyDescent="0.25">
      <c r="A196" s="221" t="s">
        <v>1054</v>
      </c>
      <c r="B196" s="217" t="s">
        <v>1055</v>
      </c>
      <c r="C196" s="218">
        <v>0</v>
      </c>
      <c r="D196" s="218">
        <v>0</v>
      </c>
      <c r="E196" s="222">
        <v>0</v>
      </c>
    </row>
    <row r="197" spans="1:5" ht="52.8" x14ac:dyDescent="0.25">
      <c r="A197" s="221" t="s">
        <v>1056</v>
      </c>
      <c r="B197" s="217" t="s">
        <v>1057</v>
      </c>
      <c r="C197" s="218">
        <v>0</v>
      </c>
      <c r="D197" s="218">
        <v>0</v>
      </c>
      <c r="E197" s="222">
        <v>0</v>
      </c>
    </row>
    <row r="198" spans="1:5" ht="39.6" x14ac:dyDescent="0.25">
      <c r="A198" s="221" t="s">
        <v>1058</v>
      </c>
      <c r="B198" s="217" t="s">
        <v>1059</v>
      </c>
      <c r="C198" s="218">
        <v>0</v>
      </c>
      <c r="D198" s="218">
        <v>0</v>
      </c>
      <c r="E198" s="222">
        <v>0</v>
      </c>
    </row>
    <row r="199" spans="1:5" ht="39.6" x14ac:dyDescent="0.25">
      <c r="A199" s="221" t="s">
        <v>1060</v>
      </c>
      <c r="B199" s="217" t="s">
        <v>1061</v>
      </c>
      <c r="C199" s="218">
        <v>0</v>
      </c>
      <c r="D199" s="218">
        <v>0</v>
      </c>
      <c r="E199" s="222">
        <v>0</v>
      </c>
    </row>
    <row r="200" spans="1:5" ht="39.6" x14ac:dyDescent="0.25">
      <c r="A200" s="221" t="s">
        <v>1062</v>
      </c>
      <c r="B200" s="217" t="s">
        <v>1063</v>
      </c>
      <c r="C200" s="218">
        <v>0</v>
      </c>
      <c r="D200" s="218">
        <v>0</v>
      </c>
      <c r="E200" s="222">
        <v>0</v>
      </c>
    </row>
    <row r="201" spans="1:5" ht="39.6" x14ac:dyDescent="0.25">
      <c r="A201" s="221" t="s">
        <v>1064</v>
      </c>
      <c r="B201" s="217" t="s">
        <v>1065</v>
      </c>
      <c r="C201" s="218">
        <v>0</v>
      </c>
      <c r="D201" s="218">
        <v>0</v>
      </c>
      <c r="E201" s="222">
        <v>0</v>
      </c>
    </row>
    <row r="202" spans="1:5" ht="26.4" x14ac:dyDescent="0.25">
      <c r="A202" s="221" t="s">
        <v>1066</v>
      </c>
      <c r="B202" s="217" t="s">
        <v>1067</v>
      </c>
      <c r="C202" s="218">
        <v>0</v>
      </c>
      <c r="D202" s="218">
        <v>0</v>
      </c>
      <c r="E202" s="222">
        <v>0</v>
      </c>
    </row>
    <row r="203" spans="1:5" ht="39.6" x14ac:dyDescent="0.25">
      <c r="A203" s="221" t="s">
        <v>1068</v>
      </c>
      <c r="B203" s="217" t="s">
        <v>1069</v>
      </c>
      <c r="C203" s="218">
        <v>0</v>
      </c>
      <c r="D203" s="218">
        <v>0</v>
      </c>
      <c r="E203" s="222">
        <v>0</v>
      </c>
    </row>
    <row r="204" spans="1:5" ht="26.4" x14ac:dyDescent="0.25">
      <c r="A204" s="221" t="s">
        <v>1070</v>
      </c>
      <c r="B204" s="217" t="s">
        <v>1071</v>
      </c>
      <c r="C204" s="218">
        <v>0</v>
      </c>
      <c r="D204" s="218">
        <v>0</v>
      </c>
      <c r="E204" s="222">
        <v>0</v>
      </c>
    </row>
    <row r="205" spans="1:5" ht="39.6" x14ac:dyDescent="0.25">
      <c r="A205" s="221" t="s">
        <v>1072</v>
      </c>
      <c r="B205" s="217" t="s">
        <v>1073</v>
      </c>
      <c r="C205" s="218">
        <v>0</v>
      </c>
      <c r="D205" s="218">
        <v>0</v>
      </c>
      <c r="E205" s="222">
        <v>0</v>
      </c>
    </row>
    <row r="206" spans="1:5" ht="39.6" x14ac:dyDescent="0.25">
      <c r="A206" s="221" t="s">
        <v>1074</v>
      </c>
      <c r="B206" s="217" t="s">
        <v>1075</v>
      </c>
      <c r="C206" s="218">
        <v>0</v>
      </c>
      <c r="D206" s="218">
        <v>0</v>
      </c>
      <c r="E206" s="222">
        <v>0</v>
      </c>
    </row>
    <row r="207" spans="1:5" ht="26.4" x14ac:dyDescent="0.25">
      <c r="A207" s="221" t="s">
        <v>1076</v>
      </c>
      <c r="B207" s="217" t="s">
        <v>1077</v>
      </c>
      <c r="C207" s="218">
        <v>0</v>
      </c>
      <c r="D207" s="218">
        <v>0</v>
      </c>
      <c r="E207" s="222">
        <v>0</v>
      </c>
    </row>
    <row r="208" spans="1:5" ht="26.4" x14ac:dyDescent="0.25">
      <c r="A208" s="221" t="s">
        <v>1078</v>
      </c>
      <c r="B208" s="217" t="s">
        <v>1079</v>
      </c>
      <c r="C208" s="218">
        <v>0</v>
      </c>
      <c r="D208" s="218">
        <v>0</v>
      </c>
      <c r="E208" s="222">
        <v>0</v>
      </c>
    </row>
    <row r="209" spans="1:5" ht="52.8" x14ac:dyDescent="0.25">
      <c r="A209" s="221" t="s">
        <v>1080</v>
      </c>
      <c r="B209" s="217" t="s">
        <v>1081</v>
      </c>
      <c r="C209" s="218">
        <v>0</v>
      </c>
      <c r="D209" s="218">
        <v>0</v>
      </c>
      <c r="E209" s="222">
        <v>0</v>
      </c>
    </row>
    <row r="210" spans="1:5" ht="39.6" x14ac:dyDescent="0.25">
      <c r="A210" s="221" t="s">
        <v>1082</v>
      </c>
      <c r="B210" s="217" t="s">
        <v>1083</v>
      </c>
      <c r="C210" s="218">
        <v>0</v>
      </c>
      <c r="D210" s="218">
        <v>0</v>
      </c>
      <c r="E210" s="222">
        <v>0</v>
      </c>
    </row>
    <row r="211" spans="1:5" ht="26.4" x14ac:dyDescent="0.25">
      <c r="A211" s="221" t="s">
        <v>1084</v>
      </c>
      <c r="B211" s="217" t="s">
        <v>1085</v>
      </c>
      <c r="C211" s="218">
        <v>0</v>
      </c>
      <c r="D211" s="218">
        <v>0</v>
      </c>
      <c r="E211" s="222">
        <v>0</v>
      </c>
    </row>
    <row r="212" spans="1:5" ht="26.4" x14ac:dyDescent="0.25">
      <c r="A212" s="223" t="s">
        <v>1086</v>
      </c>
      <c r="B212" s="219" t="s">
        <v>1087</v>
      </c>
      <c r="C212" s="220">
        <v>53016943</v>
      </c>
      <c r="D212" s="220">
        <v>0</v>
      </c>
      <c r="E212" s="224">
        <v>6875941</v>
      </c>
    </row>
    <row r="213" spans="1:5" ht="26.4" x14ac:dyDescent="0.25">
      <c r="A213" s="221" t="s">
        <v>1088</v>
      </c>
      <c r="B213" s="217" t="s">
        <v>1089</v>
      </c>
      <c r="C213" s="218">
        <v>0</v>
      </c>
      <c r="D213" s="218">
        <v>0</v>
      </c>
      <c r="E213" s="222">
        <v>0</v>
      </c>
    </row>
    <row r="214" spans="1:5" ht="39.6" x14ac:dyDescent="0.25">
      <c r="A214" s="221" t="s">
        <v>1090</v>
      </c>
      <c r="B214" s="217" t="s">
        <v>1091</v>
      </c>
      <c r="C214" s="218">
        <v>0</v>
      </c>
      <c r="D214" s="218">
        <v>0</v>
      </c>
      <c r="E214" s="222">
        <v>0</v>
      </c>
    </row>
    <row r="215" spans="1:5" ht="26.4" x14ac:dyDescent="0.25">
      <c r="A215" s="221" t="s">
        <v>1092</v>
      </c>
      <c r="B215" s="217" t="s">
        <v>1093</v>
      </c>
      <c r="C215" s="218">
        <v>0</v>
      </c>
      <c r="D215" s="218">
        <v>0</v>
      </c>
      <c r="E215" s="222">
        <v>0</v>
      </c>
    </row>
    <row r="216" spans="1:5" ht="26.4" x14ac:dyDescent="0.25">
      <c r="A216" s="221" t="s">
        <v>1094</v>
      </c>
      <c r="B216" s="217" t="s">
        <v>1095</v>
      </c>
      <c r="C216" s="218">
        <v>0</v>
      </c>
      <c r="D216" s="218">
        <v>0</v>
      </c>
      <c r="E216" s="222">
        <v>0</v>
      </c>
    </row>
    <row r="217" spans="1:5" ht="39.6" x14ac:dyDescent="0.25">
      <c r="A217" s="221" t="s">
        <v>1096</v>
      </c>
      <c r="B217" s="217" t="s">
        <v>1097</v>
      </c>
      <c r="C217" s="218">
        <v>0</v>
      </c>
      <c r="D217" s="218">
        <v>0</v>
      </c>
      <c r="E217" s="222">
        <v>0</v>
      </c>
    </row>
    <row r="218" spans="1:5" ht="52.8" x14ac:dyDescent="0.25">
      <c r="A218" s="221" t="s">
        <v>1098</v>
      </c>
      <c r="B218" s="217" t="s">
        <v>1099</v>
      </c>
      <c r="C218" s="218">
        <v>0</v>
      </c>
      <c r="D218" s="218">
        <v>0</v>
      </c>
      <c r="E218" s="222">
        <v>0</v>
      </c>
    </row>
    <row r="219" spans="1:5" ht="39.6" x14ac:dyDescent="0.25">
      <c r="A219" s="221" t="s">
        <v>1100</v>
      </c>
      <c r="B219" s="217" t="s">
        <v>1101</v>
      </c>
      <c r="C219" s="218">
        <v>0</v>
      </c>
      <c r="D219" s="218">
        <v>0</v>
      </c>
      <c r="E219" s="222">
        <v>0</v>
      </c>
    </row>
    <row r="220" spans="1:5" ht="26.4" x14ac:dyDescent="0.25">
      <c r="A220" s="221" t="s">
        <v>1102</v>
      </c>
      <c r="B220" s="217" t="s">
        <v>1103</v>
      </c>
      <c r="C220" s="218">
        <v>0</v>
      </c>
      <c r="D220" s="218">
        <v>0</v>
      </c>
      <c r="E220" s="222">
        <v>0</v>
      </c>
    </row>
    <row r="221" spans="1:5" ht="26.4" x14ac:dyDescent="0.25">
      <c r="A221" s="221" t="s">
        <v>1104</v>
      </c>
      <c r="B221" s="217" t="s">
        <v>1105</v>
      </c>
      <c r="C221" s="218">
        <v>0</v>
      </c>
      <c r="D221" s="218">
        <v>0</v>
      </c>
      <c r="E221" s="222">
        <v>0</v>
      </c>
    </row>
    <row r="222" spans="1:5" ht="39.6" x14ac:dyDescent="0.25">
      <c r="A222" s="221" t="s">
        <v>1106</v>
      </c>
      <c r="B222" s="217" t="s">
        <v>1107</v>
      </c>
      <c r="C222" s="218">
        <v>0</v>
      </c>
      <c r="D222" s="218">
        <v>0</v>
      </c>
      <c r="E222" s="222">
        <v>0</v>
      </c>
    </row>
    <row r="223" spans="1:5" ht="52.8" x14ac:dyDescent="0.25">
      <c r="A223" s="221" t="s">
        <v>1108</v>
      </c>
      <c r="B223" s="217" t="s">
        <v>1109</v>
      </c>
      <c r="C223" s="218">
        <v>0</v>
      </c>
      <c r="D223" s="218">
        <v>0</v>
      </c>
      <c r="E223" s="222">
        <v>0</v>
      </c>
    </row>
    <row r="224" spans="1:5" ht="39.6" x14ac:dyDescent="0.25">
      <c r="A224" s="221" t="s">
        <v>1110</v>
      </c>
      <c r="B224" s="217" t="s">
        <v>1111</v>
      </c>
      <c r="C224" s="218">
        <v>0</v>
      </c>
      <c r="D224" s="218">
        <v>0</v>
      </c>
      <c r="E224" s="222">
        <v>0</v>
      </c>
    </row>
    <row r="225" spans="1:5" ht="39.6" x14ac:dyDescent="0.25">
      <c r="A225" s="221" t="s">
        <v>1112</v>
      </c>
      <c r="B225" s="217" t="s">
        <v>1113</v>
      </c>
      <c r="C225" s="218">
        <v>18662628</v>
      </c>
      <c r="D225" s="218">
        <v>0</v>
      </c>
      <c r="E225" s="222">
        <v>17918748</v>
      </c>
    </row>
    <row r="226" spans="1:5" ht="39.6" x14ac:dyDescent="0.25">
      <c r="A226" s="221" t="s">
        <v>1114</v>
      </c>
      <c r="B226" s="217" t="s">
        <v>1115</v>
      </c>
      <c r="C226" s="218">
        <v>0</v>
      </c>
      <c r="D226" s="218">
        <v>0</v>
      </c>
      <c r="E226" s="222">
        <v>0</v>
      </c>
    </row>
    <row r="227" spans="1:5" ht="39.6" x14ac:dyDescent="0.25">
      <c r="A227" s="221" t="s">
        <v>1116</v>
      </c>
      <c r="B227" s="217" t="s">
        <v>1117</v>
      </c>
      <c r="C227" s="218">
        <v>0</v>
      </c>
      <c r="D227" s="218">
        <v>0</v>
      </c>
      <c r="E227" s="222">
        <v>0</v>
      </c>
    </row>
    <row r="228" spans="1:5" ht="39.6" x14ac:dyDescent="0.25">
      <c r="A228" s="221" t="s">
        <v>1118</v>
      </c>
      <c r="B228" s="217" t="s">
        <v>1119</v>
      </c>
      <c r="C228" s="218">
        <v>0</v>
      </c>
      <c r="D228" s="218">
        <v>0</v>
      </c>
      <c r="E228" s="222">
        <v>0</v>
      </c>
    </row>
    <row r="229" spans="1:5" ht="39.6" x14ac:dyDescent="0.25">
      <c r="A229" s="221" t="s">
        <v>1120</v>
      </c>
      <c r="B229" s="217" t="s">
        <v>1121</v>
      </c>
      <c r="C229" s="218">
        <v>0</v>
      </c>
      <c r="D229" s="218">
        <v>0</v>
      </c>
      <c r="E229" s="222">
        <v>0</v>
      </c>
    </row>
    <row r="230" spans="1:5" ht="39.6" x14ac:dyDescent="0.25">
      <c r="A230" s="221" t="s">
        <v>1122</v>
      </c>
      <c r="B230" s="217" t="s">
        <v>1123</v>
      </c>
      <c r="C230" s="218">
        <v>18662628</v>
      </c>
      <c r="D230" s="218">
        <v>0</v>
      </c>
      <c r="E230" s="222">
        <v>17918748</v>
      </c>
    </row>
    <row r="231" spans="1:5" ht="39.6" x14ac:dyDescent="0.25">
      <c r="A231" s="221" t="s">
        <v>1124</v>
      </c>
      <c r="B231" s="217" t="s">
        <v>1125</v>
      </c>
      <c r="C231" s="218">
        <v>0</v>
      </c>
      <c r="D231" s="218">
        <v>0</v>
      </c>
      <c r="E231" s="222">
        <v>0</v>
      </c>
    </row>
    <row r="232" spans="1:5" ht="39.6" x14ac:dyDescent="0.25">
      <c r="A232" s="221" t="s">
        <v>1126</v>
      </c>
      <c r="B232" s="217" t="s">
        <v>1127</v>
      </c>
      <c r="C232" s="218">
        <v>0</v>
      </c>
      <c r="D232" s="218">
        <v>0</v>
      </c>
      <c r="E232" s="222">
        <v>0</v>
      </c>
    </row>
    <row r="233" spans="1:5" ht="52.8" x14ac:dyDescent="0.25">
      <c r="A233" s="221" t="s">
        <v>1128</v>
      </c>
      <c r="B233" s="217" t="s">
        <v>1129</v>
      </c>
      <c r="C233" s="218">
        <v>0</v>
      </c>
      <c r="D233" s="218">
        <v>0</v>
      </c>
      <c r="E233" s="222">
        <v>0</v>
      </c>
    </row>
    <row r="234" spans="1:5" ht="52.8" x14ac:dyDescent="0.25">
      <c r="A234" s="221" t="s">
        <v>1130</v>
      </c>
      <c r="B234" s="217" t="s">
        <v>1131</v>
      </c>
      <c r="C234" s="218">
        <v>0</v>
      </c>
      <c r="D234" s="218">
        <v>0</v>
      </c>
      <c r="E234" s="222">
        <v>0</v>
      </c>
    </row>
    <row r="235" spans="1:5" ht="26.4" x14ac:dyDescent="0.25">
      <c r="A235" s="221" t="s">
        <v>1132</v>
      </c>
      <c r="B235" s="217" t="s">
        <v>1133</v>
      </c>
      <c r="C235" s="218">
        <v>0</v>
      </c>
      <c r="D235" s="218">
        <v>0</v>
      </c>
      <c r="E235" s="222">
        <v>0</v>
      </c>
    </row>
    <row r="236" spans="1:5" ht="26.4" x14ac:dyDescent="0.25">
      <c r="A236" s="223" t="s">
        <v>1134</v>
      </c>
      <c r="B236" s="219" t="s">
        <v>1135</v>
      </c>
      <c r="C236" s="220">
        <v>18662628</v>
      </c>
      <c r="D236" s="220">
        <v>0</v>
      </c>
      <c r="E236" s="224">
        <v>17918748</v>
      </c>
    </row>
    <row r="237" spans="1:5" x14ac:dyDescent="0.25">
      <c r="A237" s="221" t="s">
        <v>1136</v>
      </c>
      <c r="B237" s="217" t="s">
        <v>1137</v>
      </c>
      <c r="C237" s="218">
        <v>25079732</v>
      </c>
      <c r="D237" s="218">
        <v>0</v>
      </c>
      <c r="E237" s="222">
        <v>26864573</v>
      </c>
    </row>
    <row r="238" spans="1:5" ht="26.4" x14ac:dyDescent="0.25">
      <c r="A238" s="221" t="s">
        <v>1138</v>
      </c>
      <c r="B238" s="217" t="s">
        <v>1139</v>
      </c>
      <c r="C238" s="218">
        <v>0</v>
      </c>
      <c r="D238" s="218">
        <v>0</v>
      </c>
      <c r="E238" s="222">
        <v>0</v>
      </c>
    </row>
    <row r="239" spans="1:5" ht="26.4" x14ac:dyDescent="0.25">
      <c r="A239" s="221" t="s">
        <v>1140</v>
      </c>
      <c r="B239" s="217" t="s">
        <v>1141</v>
      </c>
      <c r="C239" s="218">
        <v>20161</v>
      </c>
      <c r="D239" s="218">
        <v>0</v>
      </c>
      <c r="E239" s="222">
        <v>7728483</v>
      </c>
    </row>
    <row r="240" spans="1:5" x14ac:dyDescent="0.25">
      <c r="A240" s="221" t="s">
        <v>1142</v>
      </c>
      <c r="B240" s="217" t="s">
        <v>1143</v>
      </c>
      <c r="C240" s="218">
        <v>0</v>
      </c>
      <c r="D240" s="218">
        <v>0</v>
      </c>
      <c r="E240" s="222">
        <v>0</v>
      </c>
    </row>
    <row r="241" spans="1:5" ht="39.6" x14ac:dyDescent="0.25">
      <c r="A241" s="221" t="s">
        <v>1144</v>
      </c>
      <c r="B241" s="217" t="s">
        <v>1145</v>
      </c>
      <c r="C241" s="218">
        <v>0</v>
      </c>
      <c r="D241" s="218">
        <v>0</v>
      </c>
      <c r="E241" s="222">
        <v>0</v>
      </c>
    </row>
    <row r="242" spans="1:5" ht="39.6" x14ac:dyDescent="0.25">
      <c r="A242" s="221" t="s">
        <v>1146</v>
      </c>
      <c r="B242" s="217" t="s">
        <v>1147</v>
      </c>
      <c r="C242" s="218">
        <v>0</v>
      </c>
      <c r="D242" s="218">
        <v>0</v>
      </c>
      <c r="E242" s="222">
        <v>0</v>
      </c>
    </row>
    <row r="243" spans="1:5" ht="26.4" x14ac:dyDescent="0.25">
      <c r="A243" s="221" t="s">
        <v>1148</v>
      </c>
      <c r="B243" s="217" t="s">
        <v>1149</v>
      </c>
      <c r="C243" s="218">
        <v>0</v>
      </c>
      <c r="D243" s="218">
        <v>0</v>
      </c>
      <c r="E243" s="222">
        <v>0</v>
      </c>
    </row>
    <row r="244" spans="1:5" ht="26.4" x14ac:dyDescent="0.25">
      <c r="A244" s="221" t="s">
        <v>1150</v>
      </c>
      <c r="B244" s="217" t="s">
        <v>1151</v>
      </c>
      <c r="C244" s="218">
        <v>0</v>
      </c>
      <c r="D244" s="218">
        <v>0</v>
      </c>
      <c r="E244" s="222">
        <v>0</v>
      </c>
    </row>
    <row r="245" spans="1:5" ht="26.4" x14ac:dyDescent="0.25">
      <c r="A245" s="221" t="s">
        <v>1152</v>
      </c>
      <c r="B245" s="217" t="s">
        <v>1153</v>
      </c>
      <c r="C245" s="218">
        <v>0</v>
      </c>
      <c r="D245" s="218">
        <v>0</v>
      </c>
      <c r="E245" s="222">
        <v>0</v>
      </c>
    </row>
    <row r="246" spans="1:5" ht="26.4" x14ac:dyDescent="0.25">
      <c r="A246" s="223" t="s">
        <v>1154</v>
      </c>
      <c r="B246" s="219" t="s">
        <v>1155</v>
      </c>
      <c r="C246" s="220">
        <v>25099893</v>
      </c>
      <c r="D246" s="220">
        <v>0</v>
      </c>
      <c r="E246" s="224">
        <v>34593056</v>
      </c>
    </row>
    <row r="247" spans="1:5" x14ac:dyDescent="0.25">
      <c r="A247" s="223" t="s">
        <v>1156</v>
      </c>
      <c r="B247" s="219" t="s">
        <v>1157</v>
      </c>
      <c r="C247" s="220">
        <v>96779464</v>
      </c>
      <c r="D247" s="220">
        <v>0</v>
      </c>
      <c r="E247" s="224">
        <v>59387745</v>
      </c>
    </row>
    <row r="248" spans="1:5" ht="26.4" x14ac:dyDescent="0.25">
      <c r="A248" s="223" t="s">
        <v>1158</v>
      </c>
      <c r="B248" s="219" t="s">
        <v>1159</v>
      </c>
      <c r="C248" s="220">
        <v>0</v>
      </c>
      <c r="D248" s="220">
        <v>0</v>
      </c>
      <c r="E248" s="224">
        <v>0</v>
      </c>
    </row>
    <row r="249" spans="1:5" ht="26.4" x14ac:dyDescent="0.25">
      <c r="A249" s="221" t="s">
        <v>1160</v>
      </c>
      <c r="B249" s="217" t="s">
        <v>1161</v>
      </c>
      <c r="C249" s="218">
        <v>78156218</v>
      </c>
      <c r="D249" s="218">
        <v>0</v>
      </c>
      <c r="E249" s="222">
        <v>82435948</v>
      </c>
    </row>
    <row r="250" spans="1:5" ht="26.4" x14ac:dyDescent="0.25">
      <c r="A250" s="221" t="s">
        <v>1162</v>
      </c>
      <c r="B250" s="217" t="s">
        <v>1163</v>
      </c>
      <c r="C250" s="218">
        <v>40596869</v>
      </c>
      <c r="D250" s="218">
        <v>0</v>
      </c>
      <c r="E250" s="222">
        <v>44272761</v>
      </c>
    </row>
    <row r="251" spans="1:5" x14ac:dyDescent="0.25">
      <c r="A251" s="221" t="s">
        <v>1164</v>
      </c>
      <c r="B251" s="217" t="s">
        <v>1165</v>
      </c>
      <c r="C251" s="218">
        <v>1840710764</v>
      </c>
      <c r="D251" s="218">
        <v>0</v>
      </c>
      <c r="E251" s="222">
        <v>1928821492</v>
      </c>
    </row>
    <row r="252" spans="1:5" ht="27" thickBot="1" x14ac:dyDescent="0.3">
      <c r="A252" s="244" t="s">
        <v>1166</v>
      </c>
      <c r="B252" s="245" t="s">
        <v>1167</v>
      </c>
      <c r="C252" s="246">
        <v>1959463851</v>
      </c>
      <c r="D252" s="246">
        <v>0</v>
      </c>
      <c r="E252" s="247">
        <v>2055530201</v>
      </c>
    </row>
    <row r="253" spans="1:5" ht="19.95" customHeight="1" thickBot="1" x14ac:dyDescent="0.3">
      <c r="A253" s="252" t="s">
        <v>1168</v>
      </c>
      <c r="B253" s="253" t="s">
        <v>1169</v>
      </c>
      <c r="C253" s="254">
        <v>7280035588</v>
      </c>
      <c r="D253" s="254">
        <v>0</v>
      </c>
      <c r="E253" s="255">
        <v>7323924898</v>
      </c>
    </row>
  </sheetData>
  <mergeCells count="1">
    <mergeCell ref="A1:E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B2" sqref="B2"/>
    </sheetView>
  </sheetViews>
  <sheetFormatPr defaultRowHeight="13.2" x14ac:dyDescent="0.25"/>
  <cols>
    <col min="1" max="1" width="8.33203125" customWidth="1"/>
    <col min="2" max="2" width="41" customWidth="1"/>
    <col min="3" max="9" width="32.6640625" customWidth="1"/>
    <col min="257" max="257" width="8.33203125" customWidth="1"/>
    <col min="258" max="258" width="41" customWidth="1"/>
    <col min="259" max="265" width="32.6640625" customWidth="1"/>
    <col min="513" max="513" width="8.33203125" customWidth="1"/>
    <col min="514" max="514" width="41" customWidth="1"/>
    <col min="515" max="521" width="32.6640625" customWidth="1"/>
    <col min="769" max="769" width="8.33203125" customWidth="1"/>
    <col min="770" max="770" width="41" customWidth="1"/>
    <col min="771" max="777" width="32.6640625" customWidth="1"/>
    <col min="1025" max="1025" width="8.33203125" customWidth="1"/>
    <col min="1026" max="1026" width="41" customWidth="1"/>
    <col min="1027" max="1033" width="32.6640625" customWidth="1"/>
    <col min="1281" max="1281" width="8.33203125" customWidth="1"/>
    <col min="1282" max="1282" width="41" customWidth="1"/>
    <col min="1283" max="1289" width="32.6640625" customWidth="1"/>
    <col min="1537" max="1537" width="8.33203125" customWidth="1"/>
    <col min="1538" max="1538" width="41" customWidth="1"/>
    <col min="1539" max="1545" width="32.6640625" customWidth="1"/>
    <col min="1793" max="1793" width="8.33203125" customWidth="1"/>
    <col min="1794" max="1794" width="41" customWidth="1"/>
    <col min="1795" max="1801" width="32.6640625" customWidth="1"/>
    <col min="2049" max="2049" width="8.33203125" customWidth="1"/>
    <col min="2050" max="2050" width="41" customWidth="1"/>
    <col min="2051" max="2057" width="32.6640625" customWidth="1"/>
    <col min="2305" max="2305" width="8.33203125" customWidth="1"/>
    <col min="2306" max="2306" width="41" customWidth="1"/>
    <col min="2307" max="2313" width="32.6640625" customWidth="1"/>
    <col min="2561" max="2561" width="8.33203125" customWidth="1"/>
    <col min="2562" max="2562" width="41" customWidth="1"/>
    <col min="2563" max="2569" width="32.6640625" customWidth="1"/>
    <col min="2817" max="2817" width="8.33203125" customWidth="1"/>
    <col min="2818" max="2818" width="41" customWidth="1"/>
    <col min="2819" max="2825" width="32.6640625" customWidth="1"/>
    <col min="3073" max="3073" width="8.33203125" customWidth="1"/>
    <col min="3074" max="3074" width="41" customWidth="1"/>
    <col min="3075" max="3081" width="32.6640625" customWidth="1"/>
    <col min="3329" max="3329" width="8.33203125" customWidth="1"/>
    <col min="3330" max="3330" width="41" customWidth="1"/>
    <col min="3331" max="3337" width="32.6640625" customWidth="1"/>
    <col min="3585" max="3585" width="8.33203125" customWidth="1"/>
    <col min="3586" max="3586" width="41" customWidth="1"/>
    <col min="3587" max="3593" width="32.6640625" customWidth="1"/>
    <col min="3841" max="3841" width="8.33203125" customWidth="1"/>
    <col min="3842" max="3842" width="41" customWidth="1"/>
    <col min="3843" max="3849" width="32.6640625" customWidth="1"/>
    <col min="4097" max="4097" width="8.33203125" customWidth="1"/>
    <col min="4098" max="4098" width="41" customWidth="1"/>
    <col min="4099" max="4105" width="32.6640625" customWidth="1"/>
    <col min="4353" max="4353" width="8.33203125" customWidth="1"/>
    <col min="4354" max="4354" width="41" customWidth="1"/>
    <col min="4355" max="4361" width="32.6640625" customWidth="1"/>
    <col min="4609" max="4609" width="8.33203125" customWidth="1"/>
    <col min="4610" max="4610" width="41" customWidth="1"/>
    <col min="4611" max="4617" width="32.6640625" customWidth="1"/>
    <col min="4865" max="4865" width="8.33203125" customWidth="1"/>
    <col min="4866" max="4866" width="41" customWidth="1"/>
    <col min="4867" max="4873" width="32.6640625" customWidth="1"/>
    <col min="5121" max="5121" width="8.33203125" customWidth="1"/>
    <col min="5122" max="5122" width="41" customWidth="1"/>
    <col min="5123" max="5129" width="32.6640625" customWidth="1"/>
    <col min="5377" max="5377" width="8.33203125" customWidth="1"/>
    <col min="5378" max="5378" width="41" customWidth="1"/>
    <col min="5379" max="5385" width="32.6640625" customWidth="1"/>
    <col min="5633" max="5633" width="8.33203125" customWidth="1"/>
    <col min="5634" max="5634" width="41" customWidth="1"/>
    <col min="5635" max="5641" width="32.6640625" customWidth="1"/>
    <col min="5889" max="5889" width="8.33203125" customWidth="1"/>
    <col min="5890" max="5890" width="41" customWidth="1"/>
    <col min="5891" max="5897" width="32.6640625" customWidth="1"/>
    <col min="6145" max="6145" width="8.33203125" customWidth="1"/>
    <col min="6146" max="6146" width="41" customWidth="1"/>
    <col min="6147" max="6153" width="32.6640625" customWidth="1"/>
    <col min="6401" max="6401" width="8.33203125" customWidth="1"/>
    <col min="6402" max="6402" width="41" customWidth="1"/>
    <col min="6403" max="6409" width="32.6640625" customWidth="1"/>
    <col min="6657" max="6657" width="8.33203125" customWidth="1"/>
    <col min="6658" max="6658" width="41" customWidth="1"/>
    <col min="6659" max="6665" width="32.6640625" customWidth="1"/>
    <col min="6913" max="6913" width="8.33203125" customWidth="1"/>
    <col min="6914" max="6914" width="41" customWidth="1"/>
    <col min="6915" max="6921" width="32.6640625" customWidth="1"/>
    <col min="7169" max="7169" width="8.33203125" customWidth="1"/>
    <col min="7170" max="7170" width="41" customWidth="1"/>
    <col min="7171" max="7177" width="32.6640625" customWidth="1"/>
    <col min="7425" max="7425" width="8.33203125" customWidth="1"/>
    <col min="7426" max="7426" width="41" customWidth="1"/>
    <col min="7427" max="7433" width="32.6640625" customWidth="1"/>
    <col min="7681" max="7681" width="8.33203125" customWidth="1"/>
    <col min="7682" max="7682" width="41" customWidth="1"/>
    <col min="7683" max="7689" width="32.6640625" customWidth="1"/>
    <col min="7937" max="7937" width="8.33203125" customWidth="1"/>
    <col min="7938" max="7938" width="41" customWidth="1"/>
    <col min="7939" max="7945" width="32.6640625" customWidth="1"/>
    <col min="8193" max="8193" width="8.33203125" customWidth="1"/>
    <col min="8194" max="8194" width="41" customWidth="1"/>
    <col min="8195" max="8201" width="32.6640625" customWidth="1"/>
    <col min="8449" max="8449" width="8.33203125" customWidth="1"/>
    <col min="8450" max="8450" width="41" customWidth="1"/>
    <col min="8451" max="8457" width="32.6640625" customWidth="1"/>
    <col min="8705" max="8705" width="8.33203125" customWidth="1"/>
    <col min="8706" max="8706" width="41" customWidth="1"/>
    <col min="8707" max="8713" width="32.6640625" customWidth="1"/>
    <col min="8961" max="8961" width="8.33203125" customWidth="1"/>
    <col min="8962" max="8962" width="41" customWidth="1"/>
    <col min="8963" max="8969" width="32.6640625" customWidth="1"/>
    <col min="9217" max="9217" width="8.33203125" customWidth="1"/>
    <col min="9218" max="9218" width="41" customWidth="1"/>
    <col min="9219" max="9225" width="32.6640625" customWidth="1"/>
    <col min="9473" max="9473" width="8.33203125" customWidth="1"/>
    <col min="9474" max="9474" width="41" customWidth="1"/>
    <col min="9475" max="9481" width="32.6640625" customWidth="1"/>
    <col min="9729" max="9729" width="8.33203125" customWidth="1"/>
    <col min="9730" max="9730" width="41" customWidth="1"/>
    <col min="9731" max="9737" width="32.6640625" customWidth="1"/>
    <col min="9985" max="9985" width="8.33203125" customWidth="1"/>
    <col min="9986" max="9986" width="41" customWidth="1"/>
    <col min="9987" max="9993" width="32.6640625" customWidth="1"/>
    <col min="10241" max="10241" width="8.33203125" customWidth="1"/>
    <col min="10242" max="10242" width="41" customWidth="1"/>
    <col min="10243" max="10249" width="32.6640625" customWidth="1"/>
    <col min="10497" max="10497" width="8.33203125" customWidth="1"/>
    <col min="10498" max="10498" width="41" customWidth="1"/>
    <col min="10499" max="10505" width="32.6640625" customWidth="1"/>
    <col min="10753" max="10753" width="8.33203125" customWidth="1"/>
    <col min="10754" max="10754" width="41" customWidth="1"/>
    <col min="10755" max="10761" width="32.6640625" customWidth="1"/>
    <col min="11009" max="11009" width="8.33203125" customWidth="1"/>
    <col min="11010" max="11010" width="41" customWidth="1"/>
    <col min="11011" max="11017" width="32.6640625" customWidth="1"/>
    <col min="11265" max="11265" width="8.33203125" customWidth="1"/>
    <col min="11266" max="11266" width="41" customWidth="1"/>
    <col min="11267" max="11273" width="32.6640625" customWidth="1"/>
    <col min="11521" max="11521" width="8.33203125" customWidth="1"/>
    <col min="11522" max="11522" width="41" customWidth="1"/>
    <col min="11523" max="11529" width="32.6640625" customWidth="1"/>
    <col min="11777" max="11777" width="8.33203125" customWidth="1"/>
    <col min="11778" max="11778" width="41" customWidth="1"/>
    <col min="11779" max="11785" width="32.6640625" customWidth="1"/>
    <col min="12033" max="12033" width="8.33203125" customWidth="1"/>
    <col min="12034" max="12034" width="41" customWidth="1"/>
    <col min="12035" max="12041" width="32.6640625" customWidth="1"/>
    <col min="12289" max="12289" width="8.33203125" customWidth="1"/>
    <col min="12290" max="12290" width="41" customWidth="1"/>
    <col min="12291" max="12297" width="32.6640625" customWidth="1"/>
    <col min="12545" max="12545" width="8.33203125" customWidth="1"/>
    <col min="12546" max="12546" width="41" customWidth="1"/>
    <col min="12547" max="12553" width="32.6640625" customWidth="1"/>
    <col min="12801" max="12801" width="8.33203125" customWidth="1"/>
    <col min="12802" max="12802" width="41" customWidth="1"/>
    <col min="12803" max="12809" width="32.6640625" customWidth="1"/>
    <col min="13057" max="13057" width="8.33203125" customWidth="1"/>
    <col min="13058" max="13058" width="41" customWidth="1"/>
    <col min="13059" max="13065" width="32.6640625" customWidth="1"/>
    <col min="13313" max="13313" width="8.33203125" customWidth="1"/>
    <col min="13314" max="13314" width="41" customWidth="1"/>
    <col min="13315" max="13321" width="32.6640625" customWidth="1"/>
    <col min="13569" max="13569" width="8.33203125" customWidth="1"/>
    <col min="13570" max="13570" width="41" customWidth="1"/>
    <col min="13571" max="13577" width="32.6640625" customWidth="1"/>
    <col min="13825" max="13825" width="8.33203125" customWidth="1"/>
    <col min="13826" max="13826" width="41" customWidth="1"/>
    <col min="13827" max="13833" width="32.6640625" customWidth="1"/>
    <col min="14081" max="14081" width="8.33203125" customWidth="1"/>
    <col min="14082" max="14082" width="41" customWidth="1"/>
    <col min="14083" max="14089" width="32.6640625" customWidth="1"/>
    <col min="14337" max="14337" width="8.33203125" customWidth="1"/>
    <col min="14338" max="14338" width="41" customWidth="1"/>
    <col min="14339" max="14345" width="32.6640625" customWidth="1"/>
    <col min="14593" max="14593" width="8.33203125" customWidth="1"/>
    <col min="14594" max="14594" width="41" customWidth="1"/>
    <col min="14595" max="14601" width="32.6640625" customWidth="1"/>
    <col min="14849" max="14849" width="8.33203125" customWidth="1"/>
    <col min="14850" max="14850" width="41" customWidth="1"/>
    <col min="14851" max="14857" width="32.6640625" customWidth="1"/>
    <col min="15105" max="15105" width="8.33203125" customWidth="1"/>
    <col min="15106" max="15106" width="41" customWidth="1"/>
    <col min="15107" max="15113" width="32.6640625" customWidth="1"/>
    <col min="15361" max="15361" width="8.33203125" customWidth="1"/>
    <col min="15362" max="15362" width="41" customWidth="1"/>
    <col min="15363" max="15369" width="32.6640625" customWidth="1"/>
    <col min="15617" max="15617" width="8.33203125" customWidth="1"/>
    <col min="15618" max="15618" width="41" customWidth="1"/>
    <col min="15619" max="15625" width="32.6640625" customWidth="1"/>
    <col min="15873" max="15873" width="8.33203125" customWidth="1"/>
    <col min="15874" max="15874" width="41" customWidth="1"/>
    <col min="15875" max="15881" width="32.6640625" customWidth="1"/>
    <col min="16129" max="16129" width="8.33203125" customWidth="1"/>
    <col min="16130" max="16130" width="41" customWidth="1"/>
    <col min="16131" max="16137" width="32.6640625" customWidth="1"/>
  </cols>
  <sheetData>
    <row r="1" spans="1:9" ht="25.95" customHeight="1" thickBot="1" x14ac:dyDescent="0.3">
      <c r="A1" s="1129" t="s">
        <v>1205</v>
      </c>
      <c r="B1" s="1130"/>
      <c r="C1" s="1130"/>
      <c r="D1" s="1130"/>
      <c r="E1" s="1130"/>
      <c r="F1" s="1130"/>
      <c r="G1" s="1130"/>
      <c r="H1" s="1130"/>
      <c r="I1" s="1131"/>
    </row>
    <row r="2" spans="1:9" ht="46.8" x14ac:dyDescent="0.25">
      <c r="A2" s="258"/>
      <c r="B2" s="259" t="s">
        <v>373</v>
      </c>
      <c r="C2" s="259" t="s">
        <v>1172</v>
      </c>
      <c r="D2" s="259" t="s">
        <v>1173</v>
      </c>
      <c r="E2" s="259" t="s">
        <v>1174</v>
      </c>
      <c r="F2" s="259" t="s">
        <v>1175</v>
      </c>
      <c r="G2" s="259" t="s">
        <v>1176</v>
      </c>
      <c r="H2" s="259" t="s">
        <v>1177</v>
      </c>
      <c r="I2" s="260" t="s">
        <v>1178</v>
      </c>
    </row>
    <row r="3" spans="1:9" ht="16.2" thickBot="1" x14ac:dyDescent="0.3">
      <c r="A3" s="261">
        <v>1</v>
      </c>
      <c r="B3" s="262">
        <v>2</v>
      </c>
      <c r="C3" s="262">
        <v>3</v>
      </c>
      <c r="D3" s="262">
        <v>4</v>
      </c>
      <c r="E3" s="262">
        <v>5</v>
      </c>
      <c r="F3" s="262">
        <v>6</v>
      </c>
      <c r="G3" s="262">
        <v>7</v>
      </c>
      <c r="H3" s="262">
        <v>8</v>
      </c>
      <c r="I3" s="263">
        <v>9</v>
      </c>
    </row>
    <row r="4" spans="1:9" ht="26.4" x14ac:dyDescent="0.25">
      <c r="A4" s="264" t="s">
        <v>522</v>
      </c>
      <c r="B4" s="256" t="s">
        <v>1179</v>
      </c>
      <c r="C4" s="257">
        <v>25566954</v>
      </c>
      <c r="D4" s="257">
        <v>6875897585</v>
      </c>
      <c r="E4" s="257">
        <v>499538527</v>
      </c>
      <c r="F4" s="257">
        <v>0</v>
      </c>
      <c r="G4" s="257">
        <v>124776518</v>
      </c>
      <c r="H4" s="257">
        <v>0</v>
      </c>
      <c r="I4" s="265">
        <v>7525779584</v>
      </c>
    </row>
    <row r="5" spans="1:9" ht="26.4" x14ac:dyDescent="0.25">
      <c r="A5" s="221" t="s">
        <v>524</v>
      </c>
      <c r="B5" s="217" t="s">
        <v>1180</v>
      </c>
      <c r="C5" s="218">
        <v>1120000</v>
      </c>
      <c r="D5" s="218">
        <v>0</v>
      </c>
      <c r="E5" s="218">
        <v>0</v>
      </c>
      <c r="F5" s="218">
        <v>0</v>
      </c>
      <c r="G5" s="218">
        <v>128561411</v>
      </c>
      <c r="H5" s="218">
        <v>0</v>
      </c>
      <c r="I5" s="222">
        <v>129681411</v>
      </c>
    </row>
    <row r="6" spans="1:9" x14ac:dyDescent="0.25">
      <c r="A6" s="221" t="s">
        <v>526</v>
      </c>
      <c r="B6" s="217" t="s">
        <v>1181</v>
      </c>
      <c r="C6" s="218">
        <v>0</v>
      </c>
      <c r="D6" s="218">
        <v>0</v>
      </c>
      <c r="E6" s="218">
        <v>0</v>
      </c>
      <c r="F6" s="218">
        <v>0</v>
      </c>
      <c r="G6" s="218">
        <v>60768982</v>
      </c>
      <c r="H6" s="218">
        <v>0</v>
      </c>
      <c r="I6" s="222">
        <v>60768982</v>
      </c>
    </row>
    <row r="7" spans="1:9" x14ac:dyDescent="0.25">
      <c r="A7" s="221" t="s">
        <v>528</v>
      </c>
      <c r="B7" s="217" t="s">
        <v>1182</v>
      </c>
      <c r="C7" s="218">
        <v>0</v>
      </c>
      <c r="D7" s="218">
        <v>244174102</v>
      </c>
      <c r="E7" s="218">
        <v>16507695</v>
      </c>
      <c r="F7" s="218">
        <v>0</v>
      </c>
      <c r="G7" s="218">
        <v>0</v>
      </c>
      <c r="H7" s="218">
        <v>0</v>
      </c>
      <c r="I7" s="222">
        <v>260681797</v>
      </c>
    </row>
    <row r="8" spans="1:9" x14ac:dyDescent="0.25">
      <c r="A8" s="221" t="s">
        <v>530</v>
      </c>
      <c r="B8" s="217" t="s">
        <v>1183</v>
      </c>
      <c r="C8" s="218">
        <v>0</v>
      </c>
      <c r="D8" s="218">
        <v>0</v>
      </c>
      <c r="E8" s="218">
        <v>0</v>
      </c>
      <c r="F8" s="218">
        <v>0</v>
      </c>
      <c r="G8" s="218">
        <v>0</v>
      </c>
      <c r="H8" s="218">
        <v>0</v>
      </c>
      <c r="I8" s="222">
        <v>0</v>
      </c>
    </row>
    <row r="9" spans="1:9" ht="26.4" x14ac:dyDescent="0.25">
      <c r="A9" s="221" t="s">
        <v>532</v>
      </c>
      <c r="B9" s="217" t="s">
        <v>1184</v>
      </c>
      <c r="C9" s="218">
        <v>0</v>
      </c>
      <c r="D9" s="218">
        <v>0</v>
      </c>
      <c r="E9" s="218">
        <v>0</v>
      </c>
      <c r="F9" s="218">
        <v>0</v>
      </c>
      <c r="G9" s="218">
        <v>0</v>
      </c>
      <c r="H9" s="218">
        <v>0</v>
      </c>
      <c r="I9" s="222">
        <v>0</v>
      </c>
    </row>
    <row r="10" spans="1:9" x14ac:dyDescent="0.25">
      <c r="A10" s="221" t="s">
        <v>534</v>
      </c>
      <c r="B10" s="217" t="s">
        <v>1185</v>
      </c>
      <c r="C10" s="218">
        <v>0</v>
      </c>
      <c r="D10" s="218">
        <v>480000</v>
      </c>
      <c r="E10" s="218">
        <v>19408959</v>
      </c>
      <c r="F10" s="218">
        <v>0</v>
      </c>
      <c r="G10" s="218">
        <v>109175642</v>
      </c>
      <c r="H10" s="218">
        <v>0</v>
      </c>
      <c r="I10" s="222">
        <v>129064601</v>
      </c>
    </row>
    <row r="11" spans="1:9" x14ac:dyDescent="0.25">
      <c r="A11" s="223" t="s">
        <v>536</v>
      </c>
      <c r="B11" s="219" t="s">
        <v>1186</v>
      </c>
      <c r="C11" s="220">
        <v>1120000</v>
      </c>
      <c r="D11" s="220">
        <v>244654102</v>
      </c>
      <c r="E11" s="220">
        <v>35916654</v>
      </c>
      <c r="F11" s="220">
        <v>0</v>
      </c>
      <c r="G11" s="220">
        <v>298506035</v>
      </c>
      <c r="H11" s="220">
        <v>0</v>
      </c>
      <c r="I11" s="224">
        <v>580196791</v>
      </c>
    </row>
    <row r="12" spans="1:9" x14ac:dyDescent="0.25">
      <c r="A12" s="221" t="s">
        <v>538</v>
      </c>
      <c r="B12" s="217" t="s">
        <v>1187</v>
      </c>
      <c r="C12" s="218">
        <v>0</v>
      </c>
      <c r="D12" s="218">
        <v>3693198</v>
      </c>
      <c r="E12" s="218">
        <v>0</v>
      </c>
      <c r="F12" s="218">
        <v>0</v>
      </c>
      <c r="G12" s="218">
        <v>0</v>
      </c>
      <c r="H12" s="218">
        <v>0</v>
      </c>
      <c r="I12" s="222">
        <v>3693198</v>
      </c>
    </row>
    <row r="13" spans="1:9" x14ac:dyDescent="0.25">
      <c r="A13" s="221" t="s">
        <v>540</v>
      </c>
      <c r="B13" s="217" t="s">
        <v>1188</v>
      </c>
      <c r="C13" s="218">
        <v>0</v>
      </c>
      <c r="D13" s="218">
        <v>0</v>
      </c>
      <c r="E13" s="218">
        <v>0</v>
      </c>
      <c r="F13" s="218">
        <v>0</v>
      </c>
      <c r="G13" s="218">
        <v>0</v>
      </c>
      <c r="H13" s="218">
        <v>0</v>
      </c>
      <c r="I13" s="222">
        <v>0</v>
      </c>
    </row>
    <row r="14" spans="1:9" x14ac:dyDescent="0.25">
      <c r="A14" s="221" t="s">
        <v>542</v>
      </c>
      <c r="B14" s="217" t="s">
        <v>1189</v>
      </c>
      <c r="C14" s="218">
        <v>0</v>
      </c>
      <c r="D14" s="218">
        <v>0</v>
      </c>
      <c r="E14" s="218">
        <v>0</v>
      </c>
      <c r="F14" s="218">
        <v>0</v>
      </c>
      <c r="G14" s="218">
        <v>0</v>
      </c>
      <c r="H14" s="218">
        <v>0</v>
      </c>
      <c r="I14" s="222">
        <v>0</v>
      </c>
    </row>
    <row r="15" spans="1:9" ht="39.6" x14ac:dyDescent="0.25">
      <c r="A15" s="221" t="s">
        <v>544</v>
      </c>
      <c r="B15" s="217" t="s">
        <v>1190</v>
      </c>
      <c r="C15" s="218">
        <v>0</v>
      </c>
      <c r="D15" s="218">
        <v>0</v>
      </c>
      <c r="E15" s="218">
        <v>0</v>
      </c>
      <c r="F15" s="218">
        <v>0</v>
      </c>
      <c r="G15" s="218">
        <v>0</v>
      </c>
      <c r="H15" s="218">
        <v>0</v>
      </c>
      <c r="I15" s="222">
        <v>0</v>
      </c>
    </row>
    <row r="16" spans="1:9" x14ac:dyDescent="0.25">
      <c r="A16" s="221" t="s">
        <v>546</v>
      </c>
      <c r="B16" s="217" t="s">
        <v>1191</v>
      </c>
      <c r="C16" s="218">
        <v>0</v>
      </c>
      <c r="D16" s="218">
        <v>480000</v>
      </c>
      <c r="E16" s="218">
        <v>19408959</v>
      </c>
      <c r="F16" s="218">
        <v>0</v>
      </c>
      <c r="G16" s="218">
        <v>355831724</v>
      </c>
      <c r="H16" s="218">
        <v>0</v>
      </c>
      <c r="I16" s="222">
        <v>375720683</v>
      </c>
    </row>
    <row r="17" spans="1:9" x14ac:dyDescent="0.25">
      <c r="A17" s="223" t="s">
        <v>548</v>
      </c>
      <c r="B17" s="219" t="s">
        <v>1192</v>
      </c>
      <c r="C17" s="220">
        <v>0</v>
      </c>
      <c r="D17" s="220">
        <v>4173198</v>
      </c>
      <c r="E17" s="220">
        <v>19408959</v>
      </c>
      <c r="F17" s="220">
        <v>0</v>
      </c>
      <c r="G17" s="220">
        <v>355831724</v>
      </c>
      <c r="H17" s="220">
        <v>0</v>
      </c>
      <c r="I17" s="224">
        <v>379413881</v>
      </c>
    </row>
    <row r="18" spans="1:9" x14ac:dyDescent="0.25">
      <c r="A18" s="223" t="s">
        <v>550</v>
      </c>
      <c r="B18" s="219" t="s">
        <v>1193</v>
      </c>
      <c r="C18" s="220">
        <v>26686954</v>
      </c>
      <c r="D18" s="220">
        <v>7116378489</v>
      </c>
      <c r="E18" s="220">
        <v>516046222</v>
      </c>
      <c r="F18" s="220">
        <v>0</v>
      </c>
      <c r="G18" s="220">
        <v>67450829</v>
      </c>
      <c r="H18" s="220">
        <v>0</v>
      </c>
      <c r="I18" s="224">
        <v>7726562494</v>
      </c>
    </row>
    <row r="19" spans="1:9" x14ac:dyDescent="0.25">
      <c r="A19" s="223" t="s">
        <v>552</v>
      </c>
      <c r="B19" s="219" t="s">
        <v>1194</v>
      </c>
      <c r="C19" s="220">
        <v>23380910</v>
      </c>
      <c r="D19" s="220">
        <v>816710396</v>
      </c>
      <c r="E19" s="220">
        <v>262620205</v>
      </c>
      <c r="F19" s="220">
        <v>0</v>
      </c>
      <c r="G19" s="220">
        <v>0</v>
      </c>
      <c r="H19" s="220">
        <v>0</v>
      </c>
      <c r="I19" s="224">
        <v>1102711511</v>
      </c>
    </row>
    <row r="20" spans="1:9" x14ac:dyDescent="0.25">
      <c r="A20" s="221" t="s">
        <v>554</v>
      </c>
      <c r="B20" s="217" t="s">
        <v>1195</v>
      </c>
      <c r="C20" s="218">
        <v>1147396</v>
      </c>
      <c r="D20" s="218">
        <v>129951442</v>
      </c>
      <c r="E20" s="218">
        <v>65290106</v>
      </c>
      <c r="F20" s="218">
        <v>0</v>
      </c>
      <c r="G20" s="218">
        <v>0</v>
      </c>
      <c r="H20" s="218">
        <v>0</v>
      </c>
      <c r="I20" s="222">
        <v>196388944</v>
      </c>
    </row>
    <row r="21" spans="1:9" x14ac:dyDescent="0.25">
      <c r="A21" s="221" t="s">
        <v>556</v>
      </c>
      <c r="B21" s="217" t="s">
        <v>1196</v>
      </c>
      <c r="C21" s="218">
        <v>1476</v>
      </c>
      <c r="D21" s="218">
        <v>2128476</v>
      </c>
      <c r="E21" s="218">
        <v>304176</v>
      </c>
      <c r="F21" s="218">
        <v>0</v>
      </c>
      <c r="G21" s="218">
        <v>0</v>
      </c>
      <c r="H21" s="218">
        <v>0</v>
      </c>
      <c r="I21" s="222">
        <v>2434128</v>
      </c>
    </row>
    <row r="22" spans="1:9" ht="26.4" x14ac:dyDescent="0.25">
      <c r="A22" s="223" t="s">
        <v>558</v>
      </c>
      <c r="B22" s="219" t="s">
        <v>1197</v>
      </c>
      <c r="C22" s="220">
        <v>24526830</v>
      </c>
      <c r="D22" s="220">
        <v>944533362</v>
      </c>
      <c r="E22" s="220">
        <v>327606135</v>
      </c>
      <c r="F22" s="220">
        <v>0</v>
      </c>
      <c r="G22" s="220">
        <v>0</v>
      </c>
      <c r="H22" s="220">
        <v>0</v>
      </c>
      <c r="I22" s="224">
        <v>1296666327</v>
      </c>
    </row>
    <row r="23" spans="1:9" x14ac:dyDescent="0.25">
      <c r="A23" s="223" t="s">
        <v>560</v>
      </c>
      <c r="B23" s="219" t="s">
        <v>1198</v>
      </c>
      <c r="C23" s="220">
        <v>0</v>
      </c>
      <c r="D23" s="220">
        <v>0</v>
      </c>
      <c r="E23" s="220">
        <v>0</v>
      </c>
      <c r="F23" s="220">
        <v>0</v>
      </c>
      <c r="G23" s="220">
        <v>0</v>
      </c>
      <c r="H23" s="220">
        <v>0</v>
      </c>
      <c r="I23" s="224">
        <v>0</v>
      </c>
    </row>
    <row r="24" spans="1:9" x14ac:dyDescent="0.25">
      <c r="A24" s="221" t="s">
        <v>562</v>
      </c>
      <c r="B24" s="217" t="s">
        <v>1199</v>
      </c>
      <c r="C24" s="218">
        <v>0</v>
      </c>
      <c r="D24" s="218">
        <v>0</v>
      </c>
      <c r="E24" s="218">
        <v>0</v>
      </c>
      <c r="F24" s="218">
        <v>0</v>
      </c>
      <c r="G24" s="218">
        <v>0</v>
      </c>
      <c r="H24" s="218">
        <v>0</v>
      </c>
      <c r="I24" s="222">
        <v>0</v>
      </c>
    </row>
    <row r="25" spans="1:9" ht="26.4" x14ac:dyDescent="0.25">
      <c r="A25" s="221" t="s">
        <v>564</v>
      </c>
      <c r="B25" s="217" t="s">
        <v>1200</v>
      </c>
      <c r="C25" s="218">
        <v>0</v>
      </c>
      <c r="D25" s="218">
        <v>0</v>
      </c>
      <c r="E25" s="218">
        <v>0</v>
      </c>
      <c r="F25" s="218">
        <v>0</v>
      </c>
      <c r="G25" s="218">
        <v>0</v>
      </c>
      <c r="H25" s="218">
        <v>0</v>
      </c>
      <c r="I25" s="222">
        <v>0</v>
      </c>
    </row>
    <row r="26" spans="1:9" ht="26.4" x14ac:dyDescent="0.25">
      <c r="A26" s="223" t="s">
        <v>566</v>
      </c>
      <c r="B26" s="219" t="s">
        <v>1201</v>
      </c>
      <c r="C26" s="220">
        <v>0</v>
      </c>
      <c r="D26" s="220">
        <v>0</v>
      </c>
      <c r="E26" s="220">
        <v>0</v>
      </c>
      <c r="F26" s="220">
        <v>0</v>
      </c>
      <c r="G26" s="220">
        <v>0</v>
      </c>
      <c r="H26" s="220">
        <v>0</v>
      </c>
      <c r="I26" s="224">
        <v>0</v>
      </c>
    </row>
    <row r="27" spans="1:9" x14ac:dyDescent="0.25">
      <c r="A27" s="223" t="s">
        <v>568</v>
      </c>
      <c r="B27" s="219" t="s">
        <v>1202</v>
      </c>
      <c r="C27" s="220">
        <v>24526830</v>
      </c>
      <c r="D27" s="220">
        <v>944533362</v>
      </c>
      <c r="E27" s="220">
        <v>327606135</v>
      </c>
      <c r="F27" s="220">
        <v>0</v>
      </c>
      <c r="G27" s="220">
        <v>0</v>
      </c>
      <c r="H27" s="220">
        <v>0</v>
      </c>
      <c r="I27" s="224">
        <v>1296666327</v>
      </c>
    </row>
    <row r="28" spans="1:9" x14ac:dyDescent="0.25">
      <c r="A28" s="223" t="s">
        <v>570</v>
      </c>
      <c r="B28" s="219" t="s">
        <v>1203</v>
      </c>
      <c r="C28" s="220">
        <v>2160124</v>
      </c>
      <c r="D28" s="220">
        <v>6171845127</v>
      </c>
      <c r="E28" s="220">
        <v>188440087</v>
      </c>
      <c r="F28" s="220">
        <v>0</v>
      </c>
      <c r="G28" s="220">
        <v>67450829</v>
      </c>
      <c r="H28" s="220">
        <v>0</v>
      </c>
      <c r="I28" s="224">
        <v>6429896167</v>
      </c>
    </row>
    <row r="29" spans="1:9" ht="13.8" thickBot="1" x14ac:dyDescent="0.3">
      <c r="A29" s="266" t="s">
        <v>572</v>
      </c>
      <c r="B29" s="267" t="s">
        <v>1204</v>
      </c>
      <c r="C29" s="268">
        <v>22304454</v>
      </c>
      <c r="D29" s="268">
        <v>20496337</v>
      </c>
      <c r="E29" s="268">
        <v>127365319</v>
      </c>
      <c r="F29" s="268">
        <v>0</v>
      </c>
      <c r="G29" s="268">
        <v>0</v>
      </c>
      <c r="H29" s="268">
        <v>0</v>
      </c>
      <c r="I29" s="269">
        <v>170166110</v>
      </c>
    </row>
  </sheetData>
  <mergeCells count="1">
    <mergeCell ref="A1:I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19"/>
  <sheetViews>
    <sheetView workbookViewId="0">
      <selection activeCell="B2" sqref="B2"/>
    </sheetView>
  </sheetViews>
  <sheetFormatPr defaultRowHeight="13.2" x14ac:dyDescent="0.25"/>
  <cols>
    <col min="1" max="1" width="7.33203125" customWidth="1"/>
    <col min="2" max="6" width="3.33203125" customWidth="1"/>
    <col min="7" max="7" width="3.6640625" customWidth="1"/>
    <col min="8" max="11" width="3.33203125" customWidth="1"/>
    <col min="12" max="12" width="3.6640625" customWidth="1"/>
    <col min="13" max="32" width="3.33203125" customWidth="1"/>
  </cols>
  <sheetData>
    <row r="1" spans="1:32" ht="17.399999999999999" x14ac:dyDescent="0.25">
      <c r="A1" s="1135" t="s">
        <v>1206</v>
      </c>
      <c r="B1" s="1135"/>
      <c r="C1" s="1135"/>
      <c r="D1" s="1135"/>
      <c r="E1" s="1135"/>
      <c r="F1" s="1135"/>
      <c r="G1" s="1135"/>
      <c r="H1" s="1135"/>
      <c r="I1" s="1135"/>
      <c r="J1" s="1135"/>
      <c r="K1" s="1135"/>
      <c r="L1" s="1135"/>
      <c r="M1" s="1135"/>
      <c r="N1" s="1135"/>
      <c r="O1" s="1135"/>
      <c r="P1" s="1135"/>
      <c r="Q1" s="1135"/>
      <c r="R1" s="1135"/>
      <c r="S1" s="1135"/>
      <c r="T1" s="1135"/>
      <c r="U1" s="1135"/>
      <c r="V1" s="1135"/>
      <c r="W1" s="1135"/>
      <c r="X1" s="1135"/>
      <c r="Y1" s="1135"/>
      <c r="Z1" s="1135"/>
      <c r="AA1" s="1135"/>
      <c r="AB1" s="1135"/>
      <c r="AC1" s="1135"/>
      <c r="AD1" s="1135"/>
      <c r="AE1" s="1135"/>
      <c r="AF1" s="1135"/>
    </row>
    <row r="3" spans="1:32" ht="21" x14ac:dyDescent="0.25">
      <c r="A3" s="1136" t="s">
        <v>1208</v>
      </c>
      <c r="B3" s="1136"/>
      <c r="C3" s="1136"/>
      <c r="D3" s="1136"/>
      <c r="E3" s="1136"/>
      <c r="F3" s="1136"/>
      <c r="G3" s="1136"/>
      <c r="H3" s="1136"/>
      <c r="I3" s="1136"/>
      <c r="J3" s="1136"/>
      <c r="K3" s="1136"/>
      <c r="L3" s="1136"/>
      <c r="M3" s="1136"/>
      <c r="N3" s="1136"/>
      <c r="O3" s="1136"/>
      <c r="P3" s="1136"/>
      <c r="Q3" s="1136"/>
      <c r="R3" s="1136"/>
      <c r="S3" s="1136"/>
      <c r="T3" s="1136"/>
      <c r="U3" s="1136"/>
      <c r="V3" s="1136"/>
      <c r="W3" s="1136"/>
      <c r="X3" s="1136"/>
      <c r="Y3" s="1136"/>
      <c r="Z3" s="1136"/>
      <c r="AA3" s="1136"/>
      <c r="AB3" s="1136"/>
      <c r="AC3" s="1136"/>
      <c r="AD3" s="1136"/>
      <c r="AE3" s="1136"/>
      <c r="AF3" s="1136"/>
    </row>
    <row r="4" spans="1:32" ht="13.8" thickBot="1" x14ac:dyDescent="0.3">
      <c r="A4" s="1137" t="s">
        <v>1207</v>
      </c>
      <c r="B4" s="1137"/>
      <c r="C4" s="1137"/>
      <c r="D4" s="1137"/>
      <c r="E4" s="1137"/>
      <c r="F4" s="1137"/>
      <c r="G4" s="1137"/>
      <c r="H4" s="1137"/>
      <c r="I4" s="1137"/>
      <c r="J4" s="1137"/>
      <c r="K4" s="1137"/>
      <c r="L4" s="1137"/>
      <c r="M4" s="1137"/>
      <c r="N4" s="1137"/>
      <c r="O4" s="1137"/>
      <c r="P4" s="1137"/>
      <c r="Q4" s="1137"/>
      <c r="R4" s="1137"/>
      <c r="S4" s="1137"/>
      <c r="T4" s="1137"/>
      <c r="U4" s="1137"/>
      <c r="V4" s="1137"/>
      <c r="W4" s="1137"/>
      <c r="X4" s="1137"/>
      <c r="Y4" s="1137"/>
      <c r="Z4" s="1137"/>
      <c r="AA4" s="1137"/>
      <c r="AB4" s="1137"/>
      <c r="AC4" s="1137"/>
      <c r="AD4" s="1137"/>
      <c r="AE4" s="1137"/>
      <c r="AF4" s="1137"/>
    </row>
    <row r="5" spans="1:32" ht="14.4" thickTop="1" thickBot="1" x14ac:dyDescent="0.3">
      <c r="A5" s="1141" t="s">
        <v>373</v>
      </c>
      <c r="B5" s="1141"/>
      <c r="C5" s="1141"/>
      <c r="D5" s="1141"/>
      <c r="E5" s="1141"/>
      <c r="F5" s="1141"/>
      <c r="G5" s="1141"/>
      <c r="H5" s="1141"/>
      <c r="I5" s="1141"/>
      <c r="J5" s="1141"/>
      <c r="K5" s="1142" t="s">
        <v>1410</v>
      </c>
      <c r="L5" s="1142"/>
      <c r="M5" s="1142"/>
      <c r="N5" s="1142"/>
      <c r="O5" s="1142" t="s">
        <v>1411</v>
      </c>
      <c r="P5" s="1142"/>
      <c r="Q5" s="1142"/>
      <c r="R5" s="1142"/>
      <c r="S5" s="1142"/>
      <c r="T5" s="1142"/>
      <c r="U5" s="1142" t="s">
        <v>1412</v>
      </c>
      <c r="V5" s="1142"/>
      <c r="W5" s="1142"/>
      <c r="X5" s="1142"/>
      <c r="Y5" s="1142"/>
      <c r="Z5" s="1142"/>
      <c r="AA5" s="1143" t="s">
        <v>1413</v>
      </c>
      <c r="AB5" s="1143"/>
      <c r="AC5" s="1143"/>
      <c r="AD5" s="1143"/>
      <c r="AE5" s="1143"/>
      <c r="AF5" s="1143"/>
    </row>
    <row r="6" spans="1:32" ht="13.8" thickTop="1" x14ac:dyDescent="0.25">
      <c r="A6" s="1138" t="s">
        <v>1414</v>
      </c>
      <c r="B6" s="1138"/>
      <c r="C6" s="1138"/>
      <c r="D6" s="1138"/>
      <c r="E6" s="1138"/>
      <c r="F6" s="1138"/>
      <c r="G6" s="1138"/>
      <c r="H6" s="1138"/>
      <c r="I6" s="1138"/>
      <c r="J6" s="1138"/>
      <c r="K6" s="1139" t="s">
        <v>1415</v>
      </c>
      <c r="L6" s="1139"/>
      <c r="M6" s="1139"/>
      <c r="N6" s="1139"/>
      <c r="O6" s="1139" t="s">
        <v>1416</v>
      </c>
      <c r="P6" s="1139"/>
      <c r="Q6" s="1139"/>
      <c r="R6" s="1139"/>
      <c r="S6" s="1139"/>
      <c r="T6" s="1139"/>
      <c r="U6" s="1139" t="s">
        <v>1417</v>
      </c>
      <c r="V6" s="1139"/>
      <c r="W6" s="1139"/>
      <c r="X6" s="1139"/>
      <c r="Y6" s="1139"/>
      <c r="Z6" s="1139"/>
      <c r="AA6" s="1140" t="s">
        <v>1418</v>
      </c>
      <c r="AB6" s="1140"/>
      <c r="AC6" s="1140"/>
      <c r="AD6" s="1140"/>
      <c r="AE6" s="1140"/>
      <c r="AF6" s="1140"/>
    </row>
    <row r="7" spans="1:32" ht="13.8" thickBot="1" x14ac:dyDescent="0.3">
      <c r="A7" s="1132" t="s">
        <v>1419</v>
      </c>
      <c r="B7" s="1132"/>
      <c r="C7" s="1132"/>
      <c r="D7" s="1132"/>
      <c r="E7" s="1132"/>
      <c r="F7" s="1132"/>
      <c r="G7" s="1132"/>
      <c r="H7" s="1132"/>
      <c r="I7" s="1132"/>
      <c r="J7" s="1132"/>
      <c r="K7" s="1133" t="s">
        <v>475</v>
      </c>
      <c r="L7" s="1133"/>
      <c r="M7" s="1133"/>
      <c r="N7" s="1133"/>
      <c r="O7" s="1133" t="s">
        <v>475</v>
      </c>
      <c r="P7" s="1133"/>
      <c r="Q7" s="1133"/>
      <c r="R7" s="1133"/>
      <c r="S7" s="1133"/>
      <c r="T7" s="1133"/>
      <c r="U7" s="1133" t="s">
        <v>475</v>
      </c>
      <c r="V7" s="1133"/>
      <c r="W7" s="1133"/>
      <c r="X7" s="1133"/>
      <c r="Y7" s="1133"/>
      <c r="Z7" s="1133"/>
      <c r="AA7" s="1134" t="s">
        <v>475</v>
      </c>
      <c r="AB7" s="1134"/>
      <c r="AC7" s="1134"/>
      <c r="AD7" s="1134"/>
      <c r="AE7" s="1134"/>
      <c r="AF7" s="1134"/>
    </row>
    <row r="8" spans="1:32" ht="24" customHeight="1" thickTop="1" thickBot="1" x14ac:dyDescent="0.3">
      <c r="A8" s="1132" t="s">
        <v>1420</v>
      </c>
      <c r="B8" s="1132"/>
      <c r="C8" s="1132"/>
      <c r="D8" s="1132"/>
      <c r="E8" s="1132"/>
      <c r="F8" s="1132"/>
      <c r="G8" s="1132"/>
      <c r="H8" s="1132"/>
      <c r="I8" s="1132"/>
      <c r="J8" s="1132"/>
      <c r="K8" s="1133" t="s">
        <v>1305</v>
      </c>
      <c r="L8" s="1133"/>
      <c r="M8" s="1133"/>
      <c r="N8" s="1133"/>
      <c r="O8" s="1133" t="s">
        <v>1421</v>
      </c>
      <c r="P8" s="1133"/>
      <c r="Q8" s="1133"/>
      <c r="R8" s="1133"/>
      <c r="S8" s="1133"/>
      <c r="T8" s="1133"/>
      <c r="U8" s="1133" t="s">
        <v>1422</v>
      </c>
      <c r="V8" s="1133"/>
      <c r="W8" s="1133"/>
      <c r="X8" s="1133"/>
      <c r="Y8" s="1133"/>
      <c r="Z8" s="1133"/>
      <c r="AA8" s="1134" t="s">
        <v>1423</v>
      </c>
      <c r="AB8" s="1134"/>
      <c r="AC8" s="1134"/>
      <c r="AD8" s="1134"/>
      <c r="AE8" s="1134"/>
      <c r="AF8" s="1134"/>
    </row>
    <row r="9" spans="1:32" ht="14.4" thickTop="1" thickBot="1" x14ac:dyDescent="0.3">
      <c r="A9" s="1132" t="s">
        <v>1424</v>
      </c>
      <c r="B9" s="1132"/>
      <c r="C9" s="1132"/>
      <c r="D9" s="1132"/>
      <c r="E9" s="1132"/>
      <c r="F9" s="1132"/>
      <c r="G9" s="1132"/>
      <c r="H9" s="1132"/>
      <c r="I9" s="1132"/>
      <c r="J9" s="1132"/>
      <c r="K9" s="1133" t="s">
        <v>1425</v>
      </c>
      <c r="L9" s="1133"/>
      <c r="M9" s="1133"/>
      <c r="N9" s="1133"/>
      <c r="O9" s="1133" t="s">
        <v>1426</v>
      </c>
      <c r="P9" s="1133"/>
      <c r="Q9" s="1133"/>
      <c r="R9" s="1133"/>
      <c r="S9" s="1133"/>
      <c r="T9" s="1133"/>
      <c r="U9" s="1133" t="s">
        <v>1427</v>
      </c>
      <c r="V9" s="1133"/>
      <c r="W9" s="1133"/>
      <c r="X9" s="1133"/>
      <c r="Y9" s="1133"/>
      <c r="Z9" s="1133"/>
      <c r="AA9" s="1134" t="s">
        <v>1428</v>
      </c>
      <c r="AB9" s="1134"/>
      <c r="AC9" s="1134"/>
      <c r="AD9" s="1134"/>
      <c r="AE9" s="1134"/>
      <c r="AF9" s="1134"/>
    </row>
    <row r="10" spans="1:32" ht="14.4" thickTop="1" thickBot="1" x14ac:dyDescent="0.3">
      <c r="A10" s="1132" t="s">
        <v>1429</v>
      </c>
      <c r="B10" s="1132"/>
      <c r="C10" s="1132"/>
      <c r="D10" s="1132"/>
      <c r="E10" s="1132"/>
      <c r="F10" s="1132"/>
      <c r="G10" s="1132"/>
      <c r="H10" s="1132"/>
      <c r="I10" s="1132"/>
      <c r="J10" s="1132"/>
      <c r="K10" s="1133" t="s">
        <v>1430</v>
      </c>
      <c r="L10" s="1133"/>
      <c r="M10" s="1133"/>
      <c r="N10" s="1133"/>
      <c r="O10" s="1133" t="s">
        <v>1431</v>
      </c>
      <c r="P10" s="1133"/>
      <c r="Q10" s="1133"/>
      <c r="R10" s="1133"/>
      <c r="S10" s="1133"/>
      <c r="T10" s="1133"/>
      <c r="U10" s="1133" t="s">
        <v>1432</v>
      </c>
      <c r="V10" s="1133"/>
      <c r="W10" s="1133"/>
      <c r="X10" s="1133"/>
      <c r="Y10" s="1133"/>
      <c r="Z10" s="1133"/>
      <c r="AA10" s="1134" t="s">
        <v>1433</v>
      </c>
      <c r="AB10" s="1134"/>
      <c r="AC10" s="1134"/>
      <c r="AD10" s="1134"/>
      <c r="AE10" s="1134"/>
      <c r="AF10" s="1134"/>
    </row>
    <row r="11" spans="1:32" ht="14.4" thickTop="1" thickBot="1" x14ac:dyDescent="0.3">
      <c r="A11" s="1132" t="s">
        <v>1434</v>
      </c>
      <c r="B11" s="1132"/>
      <c r="C11" s="1132"/>
      <c r="D11" s="1132"/>
      <c r="E11" s="1132"/>
      <c r="F11" s="1132"/>
      <c r="G11" s="1132"/>
      <c r="H11" s="1132"/>
      <c r="I11" s="1132"/>
      <c r="J11" s="1132"/>
      <c r="K11" s="1133" t="s">
        <v>1435</v>
      </c>
      <c r="L11" s="1133"/>
      <c r="M11" s="1133"/>
      <c r="N11" s="1133"/>
      <c r="O11" s="1133" t="s">
        <v>1436</v>
      </c>
      <c r="P11" s="1133"/>
      <c r="Q11" s="1133"/>
      <c r="R11" s="1133"/>
      <c r="S11" s="1133"/>
      <c r="T11" s="1133"/>
      <c r="U11" s="1133" t="s">
        <v>1436</v>
      </c>
      <c r="V11" s="1133"/>
      <c r="W11" s="1133"/>
      <c r="X11" s="1133"/>
      <c r="Y11" s="1133"/>
      <c r="Z11" s="1133"/>
      <c r="AA11" s="1134" t="s">
        <v>1436</v>
      </c>
      <c r="AB11" s="1134"/>
      <c r="AC11" s="1134"/>
      <c r="AD11" s="1134"/>
      <c r="AE11" s="1134"/>
      <c r="AF11" s="1134"/>
    </row>
    <row r="12" spans="1:32" ht="28.95" customHeight="1" thickTop="1" thickBot="1" x14ac:dyDescent="0.3">
      <c r="A12" s="1132" t="s">
        <v>1437</v>
      </c>
      <c r="B12" s="1132"/>
      <c r="C12" s="1132"/>
      <c r="D12" s="1132"/>
      <c r="E12" s="1132"/>
      <c r="F12" s="1132"/>
      <c r="G12" s="1132"/>
      <c r="H12" s="1132"/>
      <c r="I12" s="1132"/>
      <c r="J12" s="1132"/>
      <c r="K12" s="1133" t="s">
        <v>1438</v>
      </c>
      <c r="L12" s="1133"/>
      <c r="M12" s="1133"/>
      <c r="N12" s="1133"/>
      <c r="O12" s="1133" t="s">
        <v>1436</v>
      </c>
      <c r="P12" s="1133"/>
      <c r="Q12" s="1133"/>
      <c r="R12" s="1133"/>
      <c r="S12" s="1133"/>
      <c r="T12" s="1133"/>
      <c r="U12" s="1133" t="s">
        <v>1436</v>
      </c>
      <c r="V12" s="1133"/>
      <c r="W12" s="1133"/>
      <c r="X12" s="1133"/>
      <c r="Y12" s="1133"/>
      <c r="Z12" s="1133"/>
      <c r="AA12" s="1134" t="s">
        <v>1436</v>
      </c>
      <c r="AB12" s="1134"/>
      <c r="AC12" s="1134"/>
      <c r="AD12" s="1134"/>
      <c r="AE12" s="1134"/>
      <c r="AF12" s="1134"/>
    </row>
    <row r="13" spans="1:32" ht="14.4" thickTop="1" thickBot="1" x14ac:dyDescent="0.3">
      <c r="A13" s="1132" t="s">
        <v>1439</v>
      </c>
      <c r="B13" s="1132"/>
      <c r="C13" s="1132"/>
      <c r="D13" s="1132"/>
      <c r="E13" s="1132"/>
      <c r="F13" s="1132"/>
      <c r="G13" s="1132"/>
      <c r="H13" s="1132"/>
      <c r="I13" s="1132"/>
      <c r="J13" s="1132"/>
      <c r="K13" s="1133" t="s">
        <v>1440</v>
      </c>
      <c r="L13" s="1133"/>
      <c r="M13" s="1133"/>
      <c r="N13" s="1133"/>
      <c r="O13" s="1133" t="s">
        <v>1441</v>
      </c>
      <c r="P13" s="1133"/>
      <c r="Q13" s="1133"/>
      <c r="R13" s="1133"/>
      <c r="S13" s="1133"/>
      <c r="T13" s="1133"/>
      <c r="U13" s="1133" t="s">
        <v>1436</v>
      </c>
      <c r="V13" s="1133"/>
      <c r="W13" s="1133"/>
      <c r="X13" s="1133"/>
      <c r="Y13" s="1133"/>
      <c r="Z13" s="1133"/>
      <c r="AA13" s="1134" t="s">
        <v>1436</v>
      </c>
      <c r="AB13" s="1134"/>
      <c r="AC13" s="1134"/>
      <c r="AD13" s="1134"/>
      <c r="AE13" s="1134"/>
      <c r="AF13" s="1134"/>
    </row>
    <row r="14" spans="1:32" ht="14.4" thickTop="1" thickBot="1" x14ac:dyDescent="0.3">
      <c r="A14" s="1132" t="s">
        <v>1442</v>
      </c>
      <c r="B14" s="1132"/>
      <c r="C14" s="1132"/>
      <c r="D14" s="1132"/>
      <c r="E14" s="1132"/>
      <c r="F14" s="1132"/>
      <c r="G14" s="1132"/>
      <c r="H14" s="1132"/>
      <c r="I14" s="1132"/>
      <c r="J14" s="1132"/>
      <c r="K14" s="1133" t="s">
        <v>1443</v>
      </c>
      <c r="L14" s="1133"/>
      <c r="M14" s="1133"/>
      <c r="N14" s="1133"/>
      <c r="O14" s="1133" t="s">
        <v>1444</v>
      </c>
      <c r="P14" s="1133"/>
      <c r="Q14" s="1133"/>
      <c r="R14" s="1133"/>
      <c r="S14" s="1133"/>
      <c r="T14" s="1133"/>
      <c r="U14" s="1133" t="s">
        <v>1432</v>
      </c>
      <c r="V14" s="1133"/>
      <c r="W14" s="1133"/>
      <c r="X14" s="1133"/>
      <c r="Y14" s="1133"/>
      <c r="Z14" s="1133"/>
      <c r="AA14" s="1134" t="s">
        <v>1445</v>
      </c>
      <c r="AB14" s="1134"/>
      <c r="AC14" s="1134"/>
      <c r="AD14" s="1134"/>
      <c r="AE14" s="1134"/>
      <c r="AF14" s="1134"/>
    </row>
    <row r="15" spans="1:32" ht="14.4" thickTop="1" thickBot="1" x14ac:dyDescent="0.3">
      <c r="A15" s="1132" t="s">
        <v>1446</v>
      </c>
      <c r="B15" s="1132"/>
      <c r="C15" s="1132"/>
      <c r="D15" s="1132"/>
      <c r="E15" s="1132"/>
      <c r="F15" s="1132"/>
      <c r="G15" s="1132"/>
      <c r="H15" s="1132"/>
      <c r="I15" s="1132"/>
      <c r="J15" s="1132"/>
      <c r="K15" s="1133" t="s">
        <v>1447</v>
      </c>
      <c r="L15" s="1133"/>
      <c r="M15" s="1133"/>
      <c r="N15" s="1133"/>
      <c r="O15" s="1133" t="s">
        <v>1448</v>
      </c>
      <c r="P15" s="1133"/>
      <c r="Q15" s="1133"/>
      <c r="R15" s="1133"/>
      <c r="S15" s="1133"/>
      <c r="T15" s="1133"/>
      <c r="U15" s="1133" t="s">
        <v>1449</v>
      </c>
      <c r="V15" s="1133"/>
      <c r="W15" s="1133"/>
      <c r="X15" s="1133"/>
      <c r="Y15" s="1133"/>
      <c r="Z15" s="1133"/>
      <c r="AA15" s="1134" t="s">
        <v>1450</v>
      </c>
      <c r="AB15" s="1134"/>
      <c r="AC15" s="1134"/>
      <c r="AD15" s="1134"/>
      <c r="AE15" s="1134"/>
      <c r="AF15" s="1134"/>
    </row>
    <row r="16" spans="1:32" ht="14.4" thickTop="1" thickBot="1" x14ac:dyDescent="0.3">
      <c r="A16" s="1132" t="s">
        <v>1434</v>
      </c>
      <c r="B16" s="1132"/>
      <c r="C16" s="1132"/>
      <c r="D16" s="1132"/>
      <c r="E16" s="1132"/>
      <c r="F16" s="1132"/>
      <c r="G16" s="1132"/>
      <c r="H16" s="1132"/>
      <c r="I16" s="1132"/>
      <c r="J16" s="1132"/>
      <c r="K16" s="1133" t="s">
        <v>1451</v>
      </c>
      <c r="L16" s="1133"/>
      <c r="M16" s="1133"/>
      <c r="N16" s="1133"/>
      <c r="O16" s="1133" t="s">
        <v>1436</v>
      </c>
      <c r="P16" s="1133"/>
      <c r="Q16" s="1133"/>
      <c r="R16" s="1133"/>
      <c r="S16" s="1133"/>
      <c r="T16" s="1133"/>
      <c r="U16" s="1133" t="s">
        <v>1436</v>
      </c>
      <c r="V16" s="1133"/>
      <c r="W16" s="1133"/>
      <c r="X16" s="1133"/>
      <c r="Y16" s="1133"/>
      <c r="Z16" s="1133"/>
      <c r="AA16" s="1134" t="s">
        <v>1436</v>
      </c>
      <c r="AB16" s="1134"/>
      <c r="AC16" s="1134"/>
      <c r="AD16" s="1134"/>
      <c r="AE16" s="1134"/>
      <c r="AF16" s="1134"/>
    </row>
    <row r="17" spans="1:32" ht="28.2" customHeight="1" thickTop="1" thickBot="1" x14ac:dyDescent="0.3">
      <c r="A17" s="1132" t="s">
        <v>1437</v>
      </c>
      <c r="B17" s="1132"/>
      <c r="C17" s="1132"/>
      <c r="D17" s="1132"/>
      <c r="E17" s="1132"/>
      <c r="F17" s="1132"/>
      <c r="G17" s="1132"/>
      <c r="H17" s="1132"/>
      <c r="I17" s="1132"/>
      <c r="J17" s="1132"/>
      <c r="K17" s="1133" t="s">
        <v>1452</v>
      </c>
      <c r="L17" s="1133"/>
      <c r="M17" s="1133"/>
      <c r="N17" s="1133"/>
      <c r="O17" s="1133" t="s">
        <v>1436</v>
      </c>
      <c r="P17" s="1133"/>
      <c r="Q17" s="1133"/>
      <c r="R17" s="1133"/>
      <c r="S17" s="1133"/>
      <c r="T17" s="1133"/>
      <c r="U17" s="1133" t="s">
        <v>1436</v>
      </c>
      <c r="V17" s="1133"/>
      <c r="W17" s="1133"/>
      <c r="X17" s="1133"/>
      <c r="Y17" s="1133"/>
      <c r="Z17" s="1133"/>
      <c r="AA17" s="1134" t="s">
        <v>1436</v>
      </c>
      <c r="AB17" s="1134"/>
      <c r="AC17" s="1134"/>
      <c r="AD17" s="1134"/>
      <c r="AE17" s="1134"/>
      <c r="AF17" s="1134"/>
    </row>
    <row r="18" spans="1:32" ht="14.4" thickTop="1" thickBot="1" x14ac:dyDescent="0.3">
      <c r="A18" s="1132" t="s">
        <v>1439</v>
      </c>
      <c r="B18" s="1132"/>
      <c r="C18" s="1132"/>
      <c r="D18" s="1132"/>
      <c r="E18" s="1132"/>
      <c r="F18" s="1132"/>
      <c r="G18" s="1132"/>
      <c r="H18" s="1132"/>
      <c r="I18" s="1132"/>
      <c r="J18" s="1132"/>
      <c r="K18" s="1133" t="s">
        <v>1453</v>
      </c>
      <c r="L18" s="1133"/>
      <c r="M18" s="1133"/>
      <c r="N18" s="1133"/>
      <c r="O18" s="1133" t="s">
        <v>1448</v>
      </c>
      <c r="P18" s="1133"/>
      <c r="Q18" s="1133"/>
      <c r="R18" s="1133"/>
      <c r="S18" s="1133"/>
      <c r="T18" s="1133"/>
      <c r="U18" s="1133" t="s">
        <v>1449</v>
      </c>
      <c r="V18" s="1133"/>
      <c r="W18" s="1133"/>
      <c r="X18" s="1133"/>
      <c r="Y18" s="1133"/>
      <c r="Z18" s="1133"/>
      <c r="AA18" s="1134" t="s">
        <v>1450</v>
      </c>
      <c r="AB18" s="1134"/>
      <c r="AC18" s="1134"/>
      <c r="AD18" s="1134"/>
      <c r="AE18" s="1134"/>
      <c r="AF18" s="1134"/>
    </row>
    <row r="19" spans="1:32" ht="14.4" thickTop="1" thickBot="1" x14ac:dyDescent="0.3">
      <c r="A19" s="1132" t="s">
        <v>1442</v>
      </c>
      <c r="B19" s="1132"/>
      <c r="C19" s="1132"/>
      <c r="D19" s="1132"/>
      <c r="E19" s="1132"/>
      <c r="F19" s="1132"/>
      <c r="G19" s="1132"/>
      <c r="H19" s="1132"/>
      <c r="I19" s="1132"/>
      <c r="J19" s="1132"/>
      <c r="K19" s="1133" t="s">
        <v>1454</v>
      </c>
      <c r="L19" s="1133"/>
      <c r="M19" s="1133"/>
      <c r="N19" s="1133"/>
      <c r="O19" s="1133" t="s">
        <v>1436</v>
      </c>
      <c r="P19" s="1133"/>
      <c r="Q19" s="1133"/>
      <c r="R19" s="1133"/>
      <c r="S19" s="1133"/>
      <c r="T19" s="1133"/>
      <c r="U19" s="1133" t="s">
        <v>1436</v>
      </c>
      <c r="V19" s="1133"/>
      <c r="W19" s="1133"/>
      <c r="X19" s="1133"/>
      <c r="Y19" s="1133"/>
      <c r="Z19" s="1133"/>
      <c r="AA19" s="1134" t="s">
        <v>1436</v>
      </c>
      <c r="AB19" s="1134"/>
      <c r="AC19" s="1134"/>
      <c r="AD19" s="1134"/>
      <c r="AE19" s="1134"/>
      <c r="AF19" s="1134"/>
    </row>
    <row r="20" spans="1:32" ht="14.4" thickTop="1" thickBot="1" x14ac:dyDescent="0.3">
      <c r="A20" s="1132" t="s">
        <v>1455</v>
      </c>
      <c r="B20" s="1132"/>
      <c r="C20" s="1132"/>
      <c r="D20" s="1132"/>
      <c r="E20" s="1132"/>
      <c r="F20" s="1132"/>
      <c r="G20" s="1132"/>
      <c r="H20" s="1132"/>
      <c r="I20" s="1132"/>
      <c r="J20" s="1132"/>
      <c r="K20" s="1133" t="s">
        <v>1456</v>
      </c>
      <c r="L20" s="1133"/>
      <c r="M20" s="1133"/>
      <c r="N20" s="1133"/>
      <c r="O20" s="1133" t="s">
        <v>1436</v>
      </c>
      <c r="P20" s="1133"/>
      <c r="Q20" s="1133"/>
      <c r="R20" s="1133"/>
      <c r="S20" s="1133"/>
      <c r="T20" s="1133"/>
      <c r="U20" s="1133" t="s">
        <v>1436</v>
      </c>
      <c r="V20" s="1133"/>
      <c r="W20" s="1133"/>
      <c r="X20" s="1133"/>
      <c r="Y20" s="1133"/>
      <c r="Z20" s="1133"/>
      <c r="AA20" s="1134" t="s">
        <v>1436</v>
      </c>
      <c r="AB20" s="1134"/>
      <c r="AC20" s="1134"/>
      <c r="AD20" s="1134"/>
      <c r="AE20" s="1134"/>
      <c r="AF20" s="1134"/>
    </row>
    <row r="21" spans="1:32" ht="14.4" thickTop="1" thickBot="1" x14ac:dyDescent="0.3">
      <c r="A21" s="1132" t="s">
        <v>1434</v>
      </c>
      <c r="B21" s="1132"/>
      <c r="C21" s="1132"/>
      <c r="D21" s="1132"/>
      <c r="E21" s="1132"/>
      <c r="F21" s="1132"/>
      <c r="G21" s="1132"/>
      <c r="H21" s="1132"/>
      <c r="I21" s="1132"/>
      <c r="J21" s="1132"/>
      <c r="K21" s="1133" t="s">
        <v>1457</v>
      </c>
      <c r="L21" s="1133"/>
      <c r="M21" s="1133"/>
      <c r="N21" s="1133"/>
      <c r="O21" s="1133" t="s">
        <v>1436</v>
      </c>
      <c r="P21" s="1133"/>
      <c r="Q21" s="1133"/>
      <c r="R21" s="1133"/>
      <c r="S21" s="1133"/>
      <c r="T21" s="1133"/>
      <c r="U21" s="1133" t="s">
        <v>1436</v>
      </c>
      <c r="V21" s="1133"/>
      <c r="W21" s="1133"/>
      <c r="X21" s="1133"/>
      <c r="Y21" s="1133"/>
      <c r="Z21" s="1133"/>
      <c r="AA21" s="1134" t="s">
        <v>1436</v>
      </c>
      <c r="AB21" s="1134"/>
      <c r="AC21" s="1134"/>
      <c r="AD21" s="1134"/>
      <c r="AE21" s="1134"/>
      <c r="AF21" s="1134"/>
    </row>
    <row r="22" spans="1:32" ht="28.95" customHeight="1" thickTop="1" thickBot="1" x14ac:dyDescent="0.3">
      <c r="A22" s="1132" t="s">
        <v>1437</v>
      </c>
      <c r="B22" s="1132"/>
      <c r="C22" s="1132"/>
      <c r="D22" s="1132"/>
      <c r="E22" s="1132"/>
      <c r="F22" s="1132"/>
      <c r="G22" s="1132"/>
      <c r="H22" s="1132"/>
      <c r="I22" s="1132"/>
      <c r="J22" s="1132"/>
      <c r="K22" s="1133" t="s">
        <v>1458</v>
      </c>
      <c r="L22" s="1133"/>
      <c r="M22" s="1133"/>
      <c r="N22" s="1133"/>
      <c r="O22" s="1133" t="s">
        <v>1436</v>
      </c>
      <c r="P22" s="1133"/>
      <c r="Q22" s="1133"/>
      <c r="R22" s="1133"/>
      <c r="S22" s="1133"/>
      <c r="T22" s="1133"/>
      <c r="U22" s="1133" t="s">
        <v>1436</v>
      </c>
      <c r="V22" s="1133"/>
      <c r="W22" s="1133"/>
      <c r="X22" s="1133"/>
      <c r="Y22" s="1133"/>
      <c r="Z22" s="1133"/>
      <c r="AA22" s="1134" t="s">
        <v>1436</v>
      </c>
      <c r="AB22" s="1134"/>
      <c r="AC22" s="1134"/>
      <c r="AD22" s="1134"/>
      <c r="AE22" s="1134"/>
      <c r="AF22" s="1134"/>
    </row>
    <row r="23" spans="1:32" ht="14.4" thickTop="1" thickBot="1" x14ac:dyDescent="0.3">
      <c r="A23" s="1132" t="s">
        <v>1439</v>
      </c>
      <c r="B23" s="1132"/>
      <c r="C23" s="1132"/>
      <c r="D23" s="1132"/>
      <c r="E23" s="1132"/>
      <c r="F23" s="1132"/>
      <c r="G23" s="1132"/>
      <c r="H23" s="1132"/>
      <c r="I23" s="1132"/>
      <c r="J23" s="1132"/>
      <c r="K23" s="1133" t="s">
        <v>1459</v>
      </c>
      <c r="L23" s="1133"/>
      <c r="M23" s="1133"/>
      <c r="N23" s="1133"/>
      <c r="O23" s="1133" t="s">
        <v>1436</v>
      </c>
      <c r="P23" s="1133"/>
      <c r="Q23" s="1133"/>
      <c r="R23" s="1133"/>
      <c r="S23" s="1133"/>
      <c r="T23" s="1133"/>
      <c r="U23" s="1133" t="s">
        <v>1436</v>
      </c>
      <c r="V23" s="1133"/>
      <c r="W23" s="1133"/>
      <c r="X23" s="1133"/>
      <c r="Y23" s="1133"/>
      <c r="Z23" s="1133"/>
      <c r="AA23" s="1134" t="s">
        <v>1436</v>
      </c>
      <c r="AB23" s="1134"/>
      <c r="AC23" s="1134"/>
      <c r="AD23" s="1134"/>
      <c r="AE23" s="1134"/>
      <c r="AF23" s="1134"/>
    </row>
    <row r="24" spans="1:32" ht="14.4" thickTop="1" thickBot="1" x14ac:dyDescent="0.3">
      <c r="A24" s="1132" t="s">
        <v>1442</v>
      </c>
      <c r="B24" s="1132"/>
      <c r="C24" s="1132"/>
      <c r="D24" s="1132"/>
      <c r="E24" s="1132"/>
      <c r="F24" s="1132"/>
      <c r="G24" s="1132"/>
      <c r="H24" s="1132"/>
      <c r="I24" s="1132"/>
      <c r="J24" s="1132"/>
      <c r="K24" s="1133" t="s">
        <v>1460</v>
      </c>
      <c r="L24" s="1133"/>
      <c r="M24" s="1133"/>
      <c r="N24" s="1133"/>
      <c r="O24" s="1133" t="s">
        <v>1436</v>
      </c>
      <c r="P24" s="1133"/>
      <c r="Q24" s="1133"/>
      <c r="R24" s="1133"/>
      <c r="S24" s="1133"/>
      <c r="T24" s="1133"/>
      <c r="U24" s="1133" t="s">
        <v>1436</v>
      </c>
      <c r="V24" s="1133"/>
      <c r="W24" s="1133"/>
      <c r="X24" s="1133"/>
      <c r="Y24" s="1133"/>
      <c r="Z24" s="1133"/>
      <c r="AA24" s="1134" t="s">
        <v>1436</v>
      </c>
      <c r="AB24" s="1134"/>
      <c r="AC24" s="1134"/>
      <c r="AD24" s="1134"/>
      <c r="AE24" s="1134"/>
      <c r="AF24" s="1134"/>
    </row>
    <row r="25" spans="1:32" ht="14.4" thickTop="1" thickBot="1" x14ac:dyDescent="0.3">
      <c r="A25" s="1132" t="s">
        <v>1461</v>
      </c>
      <c r="B25" s="1132"/>
      <c r="C25" s="1132"/>
      <c r="D25" s="1132"/>
      <c r="E25" s="1132"/>
      <c r="F25" s="1132"/>
      <c r="G25" s="1132"/>
      <c r="H25" s="1132"/>
      <c r="I25" s="1132"/>
      <c r="J25" s="1132"/>
      <c r="K25" s="1133" t="s">
        <v>1462</v>
      </c>
      <c r="L25" s="1133"/>
      <c r="M25" s="1133"/>
      <c r="N25" s="1133"/>
      <c r="O25" s="1133" t="s">
        <v>1463</v>
      </c>
      <c r="P25" s="1133"/>
      <c r="Q25" s="1133"/>
      <c r="R25" s="1133"/>
      <c r="S25" s="1133"/>
      <c r="T25" s="1133"/>
      <c r="U25" s="1133" t="s">
        <v>1464</v>
      </c>
      <c r="V25" s="1133"/>
      <c r="W25" s="1133"/>
      <c r="X25" s="1133"/>
      <c r="Y25" s="1133"/>
      <c r="Z25" s="1133"/>
      <c r="AA25" s="1134" t="s">
        <v>1423</v>
      </c>
      <c r="AB25" s="1134"/>
      <c r="AC25" s="1134"/>
      <c r="AD25" s="1134"/>
      <c r="AE25" s="1134"/>
      <c r="AF25" s="1134"/>
    </row>
    <row r="26" spans="1:32" ht="14.4" thickTop="1" thickBot="1" x14ac:dyDescent="0.3">
      <c r="A26" s="1132" t="s">
        <v>1465</v>
      </c>
      <c r="B26" s="1132"/>
      <c r="C26" s="1132"/>
      <c r="D26" s="1132"/>
      <c r="E26" s="1132"/>
      <c r="F26" s="1132"/>
      <c r="G26" s="1132"/>
      <c r="H26" s="1132"/>
      <c r="I26" s="1132"/>
      <c r="J26" s="1132"/>
      <c r="K26" s="1133" t="s">
        <v>1466</v>
      </c>
      <c r="L26" s="1133"/>
      <c r="M26" s="1133"/>
      <c r="N26" s="1133"/>
      <c r="O26" s="1133" t="s">
        <v>1467</v>
      </c>
      <c r="P26" s="1133"/>
      <c r="Q26" s="1133"/>
      <c r="R26" s="1133"/>
      <c r="S26" s="1133"/>
      <c r="T26" s="1133"/>
      <c r="U26" s="1133" t="s">
        <v>1468</v>
      </c>
      <c r="V26" s="1133"/>
      <c r="W26" s="1133"/>
      <c r="X26" s="1133"/>
      <c r="Y26" s="1133"/>
      <c r="Z26" s="1133"/>
      <c r="AA26" s="1134" t="s">
        <v>1469</v>
      </c>
      <c r="AB26" s="1134"/>
      <c r="AC26" s="1134"/>
      <c r="AD26" s="1134"/>
      <c r="AE26" s="1134"/>
      <c r="AF26" s="1134"/>
    </row>
    <row r="27" spans="1:32" ht="14.4" thickTop="1" thickBot="1" x14ac:dyDescent="0.3">
      <c r="A27" s="1132" t="s">
        <v>1434</v>
      </c>
      <c r="B27" s="1132"/>
      <c r="C27" s="1132"/>
      <c r="D27" s="1132"/>
      <c r="E27" s="1132"/>
      <c r="F27" s="1132"/>
      <c r="G27" s="1132"/>
      <c r="H27" s="1132"/>
      <c r="I27" s="1132"/>
      <c r="J27" s="1132"/>
      <c r="K27" s="1133" t="s">
        <v>1470</v>
      </c>
      <c r="L27" s="1133"/>
      <c r="M27" s="1133"/>
      <c r="N27" s="1133"/>
      <c r="O27" s="1133" t="s">
        <v>1471</v>
      </c>
      <c r="P27" s="1133"/>
      <c r="Q27" s="1133"/>
      <c r="R27" s="1133"/>
      <c r="S27" s="1133"/>
      <c r="T27" s="1133"/>
      <c r="U27" s="1133" t="s">
        <v>1472</v>
      </c>
      <c r="V27" s="1133"/>
      <c r="W27" s="1133"/>
      <c r="X27" s="1133"/>
      <c r="Y27" s="1133"/>
      <c r="Z27" s="1133"/>
      <c r="AA27" s="1134" t="s">
        <v>1473</v>
      </c>
      <c r="AB27" s="1134"/>
      <c r="AC27" s="1134"/>
      <c r="AD27" s="1134"/>
      <c r="AE27" s="1134"/>
      <c r="AF27" s="1134"/>
    </row>
    <row r="28" spans="1:32" ht="26.4" customHeight="1" thickTop="1" thickBot="1" x14ac:dyDescent="0.3">
      <c r="A28" s="1132" t="s">
        <v>1437</v>
      </c>
      <c r="B28" s="1132"/>
      <c r="C28" s="1132"/>
      <c r="D28" s="1132"/>
      <c r="E28" s="1132"/>
      <c r="F28" s="1132"/>
      <c r="G28" s="1132"/>
      <c r="H28" s="1132"/>
      <c r="I28" s="1132"/>
      <c r="J28" s="1132"/>
      <c r="K28" s="1133" t="s">
        <v>1474</v>
      </c>
      <c r="L28" s="1133"/>
      <c r="M28" s="1133"/>
      <c r="N28" s="1133"/>
      <c r="O28" s="1133" t="s">
        <v>1475</v>
      </c>
      <c r="P28" s="1133"/>
      <c r="Q28" s="1133"/>
      <c r="R28" s="1133"/>
      <c r="S28" s="1133"/>
      <c r="T28" s="1133"/>
      <c r="U28" s="1133" t="s">
        <v>1475</v>
      </c>
      <c r="V28" s="1133"/>
      <c r="W28" s="1133"/>
      <c r="X28" s="1133"/>
      <c r="Y28" s="1133"/>
      <c r="Z28" s="1133"/>
      <c r="AA28" s="1134" t="s">
        <v>720</v>
      </c>
      <c r="AB28" s="1134"/>
      <c r="AC28" s="1134"/>
      <c r="AD28" s="1134"/>
      <c r="AE28" s="1134"/>
      <c r="AF28" s="1134"/>
    </row>
    <row r="29" spans="1:32" ht="14.4" thickTop="1" thickBot="1" x14ac:dyDescent="0.3">
      <c r="A29" s="1132" t="s">
        <v>1439</v>
      </c>
      <c r="B29" s="1132"/>
      <c r="C29" s="1132"/>
      <c r="D29" s="1132"/>
      <c r="E29" s="1132"/>
      <c r="F29" s="1132"/>
      <c r="G29" s="1132"/>
      <c r="H29" s="1132"/>
      <c r="I29" s="1132"/>
      <c r="J29" s="1132"/>
      <c r="K29" s="1133" t="s">
        <v>1476</v>
      </c>
      <c r="L29" s="1133"/>
      <c r="M29" s="1133"/>
      <c r="N29" s="1133"/>
      <c r="O29" s="1133" t="s">
        <v>1477</v>
      </c>
      <c r="P29" s="1133"/>
      <c r="Q29" s="1133"/>
      <c r="R29" s="1133"/>
      <c r="S29" s="1133"/>
      <c r="T29" s="1133"/>
      <c r="U29" s="1133" t="s">
        <v>1478</v>
      </c>
      <c r="V29" s="1133"/>
      <c r="W29" s="1133"/>
      <c r="X29" s="1133"/>
      <c r="Y29" s="1133"/>
      <c r="Z29" s="1133"/>
      <c r="AA29" s="1134" t="s">
        <v>1479</v>
      </c>
      <c r="AB29" s="1134"/>
      <c r="AC29" s="1134"/>
      <c r="AD29" s="1134"/>
      <c r="AE29" s="1134"/>
      <c r="AF29" s="1134"/>
    </row>
    <row r="30" spans="1:32" ht="14.4" thickTop="1" thickBot="1" x14ac:dyDescent="0.3">
      <c r="A30" s="1132" t="s">
        <v>1442</v>
      </c>
      <c r="B30" s="1132"/>
      <c r="C30" s="1132"/>
      <c r="D30" s="1132"/>
      <c r="E30" s="1132"/>
      <c r="F30" s="1132"/>
      <c r="G30" s="1132"/>
      <c r="H30" s="1132"/>
      <c r="I30" s="1132"/>
      <c r="J30" s="1132"/>
      <c r="K30" s="1133" t="s">
        <v>1480</v>
      </c>
      <c r="L30" s="1133"/>
      <c r="M30" s="1133"/>
      <c r="N30" s="1133"/>
      <c r="O30" s="1133" t="s">
        <v>1481</v>
      </c>
      <c r="P30" s="1133"/>
      <c r="Q30" s="1133"/>
      <c r="R30" s="1133"/>
      <c r="S30" s="1133"/>
      <c r="T30" s="1133"/>
      <c r="U30" s="1133" t="s">
        <v>1482</v>
      </c>
      <c r="V30" s="1133"/>
      <c r="W30" s="1133"/>
      <c r="X30" s="1133"/>
      <c r="Y30" s="1133"/>
      <c r="Z30" s="1133"/>
      <c r="AA30" s="1134" t="s">
        <v>1483</v>
      </c>
      <c r="AB30" s="1134"/>
      <c r="AC30" s="1134"/>
      <c r="AD30" s="1134"/>
      <c r="AE30" s="1134"/>
      <c r="AF30" s="1134"/>
    </row>
    <row r="31" spans="1:32" ht="14.4" thickTop="1" thickBot="1" x14ac:dyDescent="0.3">
      <c r="A31" s="1132" t="s">
        <v>1484</v>
      </c>
      <c r="B31" s="1132"/>
      <c r="C31" s="1132"/>
      <c r="D31" s="1132"/>
      <c r="E31" s="1132"/>
      <c r="F31" s="1132"/>
      <c r="G31" s="1132"/>
      <c r="H31" s="1132"/>
      <c r="I31" s="1132"/>
      <c r="J31" s="1132"/>
      <c r="K31" s="1133" t="s">
        <v>1485</v>
      </c>
      <c r="L31" s="1133"/>
      <c r="M31" s="1133"/>
      <c r="N31" s="1133"/>
      <c r="O31" s="1133" t="s">
        <v>1486</v>
      </c>
      <c r="P31" s="1133"/>
      <c r="Q31" s="1133"/>
      <c r="R31" s="1133"/>
      <c r="S31" s="1133"/>
      <c r="T31" s="1133"/>
      <c r="U31" s="1133" t="s">
        <v>1487</v>
      </c>
      <c r="V31" s="1133"/>
      <c r="W31" s="1133"/>
      <c r="X31" s="1133"/>
      <c r="Y31" s="1133"/>
      <c r="Z31" s="1133"/>
      <c r="AA31" s="1134" t="s">
        <v>1488</v>
      </c>
      <c r="AB31" s="1134"/>
      <c r="AC31" s="1134"/>
      <c r="AD31" s="1134"/>
      <c r="AE31" s="1134"/>
      <c r="AF31" s="1134"/>
    </row>
    <row r="32" spans="1:32" ht="14.4" thickTop="1" thickBot="1" x14ac:dyDescent="0.3">
      <c r="A32" s="1132" t="s">
        <v>1434</v>
      </c>
      <c r="B32" s="1132"/>
      <c r="C32" s="1132"/>
      <c r="D32" s="1132"/>
      <c r="E32" s="1132"/>
      <c r="F32" s="1132"/>
      <c r="G32" s="1132"/>
      <c r="H32" s="1132"/>
      <c r="I32" s="1132"/>
      <c r="J32" s="1132"/>
      <c r="K32" s="1133" t="s">
        <v>1489</v>
      </c>
      <c r="L32" s="1133"/>
      <c r="M32" s="1133"/>
      <c r="N32" s="1133"/>
      <c r="O32" s="1133" t="s">
        <v>1490</v>
      </c>
      <c r="P32" s="1133"/>
      <c r="Q32" s="1133"/>
      <c r="R32" s="1133"/>
      <c r="S32" s="1133"/>
      <c r="T32" s="1133"/>
      <c r="U32" s="1133" t="s">
        <v>1490</v>
      </c>
      <c r="V32" s="1133"/>
      <c r="W32" s="1133"/>
      <c r="X32" s="1133"/>
      <c r="Y32" s="1133"/>
      <c r="Z32" s="1133"/>
      <c r="AA32" s="1134" t="s">
        <v>720</v>
      </c>
      <c r="AB32" s="1134"/>
      <c r="AC32" s="1134"/>
      <c r="AD32" s="1134"/>
      <c r="AE32" s="1134"/>
      <c r="AF32" s="1134"/>
    </row>
    <row r="33" spans="1:32" ht="27.6" customHeight="1" thickTop="1" thickBot="1" x14ac:dyDescent="0.3">
      <c r="A33" s="1132" t="s">
        <v>1437</v>
      </c>
      <c r="B33" s="1132"/>
      <c r="C33" s="1132"/>
      <c r="D33" s="1132"/>
      <c r="E33" s="1132"/>
      <c r="F33" s="1132"/>
      <c r="G33" s="1132"/>
      <c r="H33" s="1132"/>
      <c r="I33" s="1132"/>
      <c r="J33" s="1132"/>
      <c r="K33" s="1133" t="s">
        <v>1491</v>
      </c>
      <c r="L33" s="1133"/>
      <c r="M33" s="1133"/>
      <c r="N33" s="1133"/>
      <c r="O33" s="1133" t="s">
        <v>1436</v>
      </c>
      <c r="P33" s="1133"/>
      <c r="Q33" s="1133"/>
      <c r="R33" s="1133"/>
      <c r="S33" s="1133"/>
      <c r="T33" s="1133"/>
      <c r="U33" s="1133" t="s">
        <v>1436</v>
      </c>
      <c r="V33" s="1133"/>
      <c r="W33" s="1133"/>
      <c r="X33" s="1133"/>
      <c r="Y33" s="1133"/>
      <c r="Z33" s="1133"/>
      <c r="AA33" s="1134" t="s">
        <v>1436</v>
      </c>
      <c r="AB33" s="1134"/>
      <c r="AC33" s="1134"/>
      <c r="AD33" s="1134"/>
      <c r="AE33" s="1134"/>
      <c r="AF33" s="1134"/>
    </row>
    <row r="34" spans="1:32" ht="14.4" thickTop="1" thickBot="1" x14ac:dyDescent="0.3">
      <c r="A34" s="1132" t="s">
        <v>1439</v>
      </c>
      <c r="B34" s="1132"/>
      <c r="C34" s="1132"/>
      <c r="D34" s="1132"/>
      <c r="E34" s="1132"/>
      <c r="F34" s="1132"/>
      <c r="G34" s="1132"/>
      <c r="H34" s="1132"/>
      <c r="I34" s="1132"/>
      <c r="J34" s="1132"/>
      <c r="K34" s="1133" t="s">
        <v>1492</v>
      </c>
      <c r="L34" s="1133"/>
      <c r="M34" s="1133"/>
      <c r="N34" s="1133"/>
      <c r="O34" s="1133" t="s">
        <v>1493</v>
      </c>
      <c r="P34" s="1133"/>
      <c r="Q34" s="1133"/>
      <c r="R34" s="1133"/>
      <c r="S34" s="1133"/>
      <c r="T34" s="1133"/>
      <c r="U34" s="1133" t="s">
        <v>1494</v>
      </c>
      <c r="V34" s="1133"/>
      <c r="W34" s="1133"/>
      <c r="X34" s="1133"/>
      <c r="Y34" s="1133"/>
      <c r="Z34" s="1133"/>
      <c r="AA34" s="1134" t="s">
        <v>1495</v>
      </c>
      <c r="AB34" s="1134"/>
      <c r="AC34" s="1134"/>
      <c r="AD34" s="1134"/>
      <c r="AE34" s="1134"/>
      <c r="AF34" s="1134"/>
    </row>
    <row r="35" spans="1:32" ht="14.4" thickTop="1" thickBot="1" x14ac:dyDescent="0.3">
      <c r="A35" s="1132" t="s">
        <v>1442</v>
      </c>
      <c r="B35" s="1132"/>
      <c r="C35" s="1132"/>
      <c r="D35" s="1132"/>
      <c r="E35" s="1132"/>
      <c r="F35" s="1132"/>
      <c r="G35" s="1132"/>
      <c r="H35" s="1132"/>
      <c r="I35" s="1132"/>
      <c r="J35" s="1132"/>
      <c r="K35" s="1133" t="s">
        <v>1496</v>
      </c>
      <c r="L35" s="1133"/>
      <c r="M35" s="1133"/>
      <c r="N35" s="1133"/>
      <c r="O35" s="1133" t="s">
        <v>1497</v>
      </c>
      <c r="P35" s="1133"/>
      <c r="Q35" s="1133"/>
      <c r="R35" s="1133"/>
      <c r="S35" s="1133"/>
      <c r="T35" s="1133"/>
      <c r="U35" s="1133" t="s">
        <v>1498</v>
      </c>
      <c r="V35" s="1133"/>
      <c r="W35" s="1133"/>
      <c r="X35" s="1133"/>
      <c r="Y35" s="1133"/>
      <c r="Z35" s="1133"/>
      <c r="AA35" s="1134" t="s">
        <v>1499</v>
      </c>
      <c r="AB35" s="1134"/>
      <c r="AC35" s="1134"/>
      <c r="AD35" s="1134"/>
      <c r="AE35" s="1134"/>
      <c r="AF35" s="1134"/>
    </row>
    <row r="36" spans="1:32" ht="14.4" thickTop="1" thickBot="1" x14ac:dyDescent="0.3">
      <c r="A36" s="1132" t="s">
        <v>1500</v>
      </c>
      <c r="B36" s="1132"/>
      <c r="C36" s="1132"/>
      <c r="D36" s="1132"/>
      <c r="E36" s="1132"/>
      <c r="F36" s="1132"/>
      <c r="G36" s="1132"/>
      <c r="H36" s="1132"/>
      <c r="I36" s="1132"/>
      <c r="J36" s="1132"/>
      <c r="K36" s="1133" t="s">
        <v>1501</v>
      </c>
      <c r="L36" s="1133"/>
      <c r="M36" s="1133"/>
      <c r="N36" s="1133"/>
      <c r="O36" s="1133" t="s">
        <v>1436</v>
      </c>
      <c r="P36" s="1133"/>
      <c r="Q36" s="1133"/>
      <c r="R36" s="1133"/>
      <c r="S36" s="1133"/>
      <c r="T36" s="1133"/>
      <c r="U36" s="1133" t="s">
        <v>1436</v>
      </c>
      <c r="V36" s="1133"/>
      <c r="W36" s="1133"/>
      <c r="X36" s="1133"/>
      <c r="Y36" s="1133"/>
      <c r="Z36" s="1133"/>
      <c r="AA36" s="1134" t="s">
        <v>1436</v>
      </c>
      <c r="AB36" s="1134"/>
      <c r="AC36" s="1134"/>
      <c r="AD36" s="1134"/>
      <c r="AE36" s="1134"/>
      <c r="AF36" s="1134"/>
    </row>
    <row r="37" spans="1:32" ht="14.4" thickTop="1" thickBot="1" x14ac:dyDescent="0.3">
      <c r="A37" s="1132" t="s">
        <v>1434</v>
      </c>
      <c r="B37" s="1132"/>
      <c r="C37" s="1132"/>
      <c r="D37" s="1132"/>
      <c r="E37" s="1132"/>
      <c r="F37" s="1132"/>
      <c r="G37" s="1132"/>
      <c r="H37" s="1132"/>
      <c r="I37" s="1132"/>
      <c r="J37" s="1132"/>
      <c r="K37" s="1133" t="s">
        <v>1502</v>
      </c>
      <c r="L37" s="1133"/>
      <c r="M37" s="1133"/>
      <c r="N37" s="1133"/>
      <c r="O37" s="1133" t="s">
        <v>1436</v>
      </c>
      <c r="P37" s="1133"/>
      <c r="Q37" s="1133"/>
      <c r="R37" s="1133"/>
      <c r="S37" s="1133"/>
      <c r="T37" s="1133"/>
      <c r="U37" s="1133" t="s">
        <v>1436</v>
      </c>
      <c r="V37" s="1133"/>
      <c r="W37" s="1133"/>
      <c r="X37" s="1133"/>
      <c r="Y37" s="1133"/>
      <c r="Z37" s="1133"/>
      <c r="AA37" s="1134" t="s">
        <v>1436</v>
      </c>
      <c r="AB37" s="1134"/>
      <c r="AC37" s="1134"/>
      <c r="AD37" s="1134"/>
      <c r="AE37" s="1134"/>
      <c r="AF37" s="1134"/>
    </row>
    <row r="38" spans="1:32" ht="27" customHeight="1" thickTop="1" thickBot="1" x14ac:dyDescent="0.3">
      <c r="A38" s="1132" t="s">
        <v>1437</v>
      </c>
      <c r="B38" s="1132"/>
      <c r="C38" s="1132"/>
      <c r="D38" s="1132"/>
      <c r="E38" s="1132"/>
      <c r="F38" s="1132"/>
      <c r="G38" s="1132"/>
      <c r="H38" s="1132"/>
      <c r="I38" s="1132"/>
      <c r="J38" s="1132"/>
      <c r="K38" s="1133" t="s">
        <v>1503</v>
      </c>
      <c r="L38" s="1133"/>
      <c r="M38" s="1133"/>
      <c r="N38" s="1133"/>
      <c r="O38" s="1133" t="s">
        <v>1436</v>
      </c>
      <c r="P38" s="1133"/>
      <c r="Q38" s="1133"/>
      <c r="R38" s="1133"/>
      <c r="S38" s="1133"/>
      <c r="T38" s="1133"/>
      <c r="U38" s="1133" t="s">
        <v>1436</v>
      </c>
      <c r="V38" s="1133"/>
      <c r="W38" s="1133"/>
      <c r="X38" s="1133"/>
      <c r="Y38" s="1133"/>
      <c r="Z38" s="1133"/>
      <c r="AA38" s="1134" t="s">
        <v>1436</v>
      </c>
      <c r="AB38" s="1134"/>
      <c r="AC38" s="1134"/>
      <c r="AD38" s="1134"/>
      <c r="AE38" s="1134"/>
      <c r="AF38" s="1134"/>
    </row>
    <row r="39" spans="1:32" ht="14.4" thickTop="1" thickBot="1" x14ac:dyDescent="0.3">
      <c r="A39" s="1132" t="s">
        <v>1439</v>
      </c>
      <c r="B39" s="1132"/>
      <c r="C39" s="1132"/>
      <c r="D39" s="1132"/>
      <c r="E39" s="1132"/>
      <c r="F39" s="1132"/>
      <c r="G39" s="1132"/>
      <c r="H39" s="1132"/>
      <c r="I39" s="1132"/>
      <c r="J39" s="1132"/>
      <c r="K39" s="1133" t="s">
        <v>1504</v>
      </c>
      <c r="L39" s="1133"/>
      <c r="M39" s="1133"/>
      <c r="N39" s="1133"/>
      <c r="O39" s="1133" t="s">
        <v>1436</v>
      </c>
      <c r="P39" s="1133"/>
      <c r="Q39" s="1133"/>
      <c r="R39" s="1133"/>
      <c r="S39" s="1133"/>
      <c r="T39" s="1133"/>
      <c r="U39" s="1133" t="s">
        <v>1436</v>
      </c>
      <c r="V39" s="1133"/>
      <c r="W39" s="1133"/>
      <c r="X39" s="1133"/>
      <c r="Y39" s="1133"/>
      <c r="Z39" s="1133"/>
      <c r="AA39" s="1134" t="s">
        <v>1436</v>
      </c>
      <c r="AB39" s="1134"/>
      <c r="AC39" s="1134"/>
      <c r="AD39" s="1134"/>
      <c r="AE39" s="1134"/>
      <c r="AF39" s="1134"/>
    </row>
    <row r="40" spans="1:32" ht="14.4" thickTop="1" thickBot="1" x14ac:dyDescent="0.3">
      <c r="A40" s="1132" t="s">
        <v>1442</v>
      </c>
      <c r="B40" s="1132"/>
      <c r="C40" s="1132"/>
      <c r="D40" s="1132"/>
      <c r="E40" s="1132"/>
      <c r="F40" s="1132"/>
      <c r="G40" s="1132"/>
      <c r="H40" s="1132"/>
      <c r="I40" s="1132"/>
      <c r="J40" s="1132"/>
      <c r="K40" s="1133" t="s">
        <v>1505</v>
      </c>
      <c r="L40" s="1133"/>
      <c r="M40" s="1133"/>
      <c r="N40" s="1133"/>
      <c r="O40" s="1133" t="s">
        <v>1436</v>
      </c>
      <c r="P40" s="1133"/>
      <c r="Q40" s="1133"/>
      <c r="R40" s="1133"/>
      <c r="S40" s="1133"/>
      <c r="T40" s="1133"/>
      <c r="U40" s="1133" t="s">
        <v>1436</v>
      </c>
      <c r="V40" s="1133"/>
      <c r="W40" s="1133"/>
      <c r="X40" s="1133"/>
      <c r="Y40" s="1133"/>
      <c r="Z40" s="1133"/>
      <c r="AA40" s="1134" t="s">
        <v>1436</v>
      </c>
      <c r="AB40" s="1134"/>
      <c r="AC40" s="1134"/>
      <c r="AD40" s="1134"/>
      <c r="AE40" s="1134"/>
      <c r="AF40" s="1134"/>
    </row>
    <row r="41" spans="1:32" ht="14.4" thickTop="1" thickBot="1" x14ac:dyDescent="0.3">
      <c r="A41" s="1132" t="s">
        <v>1506</v>
      </c>
      <c r="B41" s="1132"/>
      <c r="C41" s="1132"/>
      <c r="D41" s="1132"/>
      <c r="E41" s="1132"/>
      <c r="F41" s="1132"/>
      <c r="G41" s="1132"/>
      <c r="H41" s="1132"/>
      <c r="I41" s="1132"/>
      <c r="J41" s="1132"/>
      <c r="K41" s="1133" t="s">
        <v>1507</v>
      </c>
      <c r="L41" s="1133"/>
      <c r="M41" s="1133"/>
      <c r="N41" s="1133"/>
      <c r="O41" s="1133" t="s">
        <v>1508</v>
      </c>
      <c r="P41" s="1133"/>
      <c r="Q41" s="1133"/>
      <c r="R41" s="1133"/>
      <c r="S41" s="1133"/>
      <c r="T41" s="1133"/>
      <c r="U41" s="1133" t="s">
        <v>1509</v>
      </c>
      <c r="V41" s="1133"/>
      <c r="W41" s="1133"/>
      <c r="X41" s="1133"/>
      <c r="Y41" s="1133"/>
      <c r="Z41" s="1133"/>
      <c r="AA41" s="1134" t="s">
        <v>1510</v>
      </c>
      <c r="AB41" s="1134"/>
      <c r="AC41" s="1134"/>
      <c r="AD41" s="1134"/>
      <c r="AE41" s="1134"/>
      <c r="AF41" s="1134"/>
    </row>
    <row r="42" spans="1:32" ht="14.4" thickTop="1" thickBot="1" x14ac:dyDescent="0.3">
      <c r="A42" s="1132" t="s">
        <v>1434</v>
      </c>
      <c r="B42" s="1132"/>
      <c r="C42" s="1132"/>
      <c r="D42" s="1132"/>
      <c r="E42" s="1132"/>
      <c r="F42" s="1132"/>
      <c r="G42" s="1132"/>
      <c r="H42" s="1132"/>
      <c r="I42" s="1132"/>
      <c r="J42" s="1132"/>
      <c r="K42" s="1133" t="s">
        <v>1511</v>
      </c>
      <c r="L42" s="1133"/>
      <c r="M42" s="1133"/>
      <c r="N42" s="1133"/>
      <c r="O42" s="1133" t="s">
        <v>1436</v>
      </c>
      <c r="P42" s="1133"/>
      <c r="Q42" s="1133"/>
      <c r="R42" s="1133"/>
      <c r="S42" s="1133"/>
      <c r="T42" s="1133"/>
      <c r="U42" s="1133" t="s">
        <v>1436</v>
      </c>
      <c r="V42" s="1133"/>
      <c r="W42" s="1133"/>
      <c r="X42" s="1133"/>
      <c r="Y42" s="1133"/>
      <c r="Z42" s="1133"/>
      <c r="AA42" s="1134" t="s">
        <v>1436</v>
      </c>
      <c r="AB42" s="1134"/>
      <c r="AC42" s="1134"/>
      <c r="AD42" s="1134"/>
      <c r="AE42" s="1134"/>
      <c r="AF42" s="1134"/>
    </row>
    <row r="43" spans="1:32" ht="27" customHeight="1" thickTop="1" thickBot="1" x14ac:dyDescent="0.3">
      <c r="A43" s="1132" t="s">
        <v>1437</v>
      </c>
      <c r="B43" s="1132"/>
      <c r="C43" s="1132"/>
      <c r="D43" s="1132"/>
      <c r="E43" s="1132"/>
      <c r="F43" s="1132"/>
      <c r="G43" s="1132"/>
      <c r="H43" s="1132"/>
      <c r="I43" s="1132"/>
      <c r="J43" s="1132"/>
      <c r="K43" s="1133" t="s">
        <v>1512</v>
      </c>
      <c r="L43" s="1133"/>
      <c r="M43" s="1133"/>
      <c r="N43" s="1133"/>
      <c r="O43" s="1133" t="s">
        <v>1436</v>
      </c>
      <c r="P43" s="1133"/>
      <c r="Q43" s="1133"/>
      <c r="R43" s="1133"/>
      <c r="S43" s="1133"/>
      <c r="T43" s="1133"/>
      <c r="U43" s="1133" t="s">
        <v>1436</v>
      </c>
      <c r="V43" s="1133"/>
      <c r="W43" s="1133"/>
      <c r="X43" s="1133"/>
      <c r="Y43" s="1133"/>
      <c r="Z43" s="1133"/>
      <c r="AA43" s="1134" t="s">
        <v>1436</v>
      </c>
      <c r="AB43" s="1134"/>
      <c r="AC43" s="1134"/>
      <c r="AD43" s="1134"/>
      <c r="AE43" s="1134"/>
      <c r="AF43" s="1134"/>
    </row>
    <row r="44" spans="1:32" ht="14.4" thickTop="1" thickBot="1" x14ac:dyDescent="0.3">
      <c r="A44" s="1132" t="s">
        <v>1439</v>
      </c>
      <c r="B44" s="1132"/>
      <c r="C44" s="1132"/>
      <c r="D44" s="1132"/>
      <c r="E44" s="1132"/>
      <c r="F44" s="1132"/>
      <c r="G44" s="1132"/>
      <c r="H44" s="1132"/>
      <c r="I44" s="1132"/>
      <c r="J44" s="1132"/>
      <c r="K44" s="1133" t="s">
        <v>1513</v>
      </c>
      <c r="L44" s="1133"/>
      <c r="M44" s="1133"/>
      <c r="N44" s="1133"/>
      <c r="O44" s="1133" t="s">
        <v>1436</v>
      </c>
      <c r="P44" s="1133"/>
      <c r="Q44" s="1133"/>
      <c r="R44" s="1133"/>
      <c r="S44" s="1133"/>
      <c r="T44" s="1133"/>
      <c r="U44" s="1133" t="s">
        <v>1436</v>
      </c>
      <c r="V44" s="1133"/>
      <c r="W44" s="1133"/>
      <c r="X44" s="1133"/>
      <c r="Y44" s="1133"/>
      <c r="Z44" s="1133"/>
      <c r="AA44" s="1134" t="s">
        <v>1436</v>
      </c>
      <c r="AB44" s="1134"/>
      <c r="AC44" s="1134"/>
      <c r="AD44" s="1134"/>
      <c r="AE44" s="1134"/>
      <c r="AF44" s="1134"/>
    </row>
    <row r="45" spans="1:32" ht="14.4" thickTop="1" thickBot="1" x14ac:dyDescent="0.3">
      <c r="A45" s="1132" t="s">
        <v>1442</v>
      </c>
      <c r="B45" s="1132"/>
      <c r="C45" s="1132"/>
      <c r="D45" s="1132"/>
      <c r="E45" s="1132"/>
      <c r="F45" s="1132"/>
      <c r="G45" s="1132"/>
      <c r="H45" s="1132"/>
      <c r="I45" s="1132"/>
      <c r="J45" s="1132"/>
      <c r="K45" s="1133" t="s">
        <v>1514</v>
      </c>
      <c r="L45" s="1133"/>
      <c r="M45" s="1133"/>
      <c r="N45" s="1133"/>
      <c r="O45" s="1133" t="s">
        <v>1508</v>
      </c>
      <c r="P45" s="1133"/>
      <c r="Q45" s="1133"/>
      <c r="R45" s="1133"/>
      <c r="S45" s="1133"/>
      <c r="T45" s="1133"/>
      <c r="U45" s="1133" t="s">
        <v>1509</v>
      </c>
      <c r="V45" s="1133"/>
      <c r="W45" s="1133"/>
      <c r="X45" s="1133"/>
      <c r="Y45" s="1133"/>
      <c r="Z45" s="1133"/>
      <c r="AA45" s="1134" t="s">
        <v>1510</v>
      </c>
      <c r="AB45" s="1134"/>
      <c r="AC45" s="1134"/>
      <c r="AD45" s="1134"/>
      <c r="AE45" s="1134"/>
      <c r="AF45" s="1134"/>
    </row>
    <row r="46" spans="1:32" ht="14.4" thickTop="1" thickBot="1" x14ac:dyDescent="0.3">
      <c r="A46" s="1132" t="s">
        <v>1515</v>
      </c>
      <c r="B46" s="1132"/>
      <c r="C46" s="1132"/>
      <c r="D46" s="1132"/>
      <c r="E46" s="1132"/>
      <c r="F46" s="1132"/>
      <c r="G46" s="1132"/>
      <c r="H46" s="1132"/>
      <c r="I46" s="1132"/>
      <c r="J46" s="1132"/>
      <c r="K46" s="1133" t="s">
        <v>1516</v>
      </c>
      <c r="L46" s="1133"/>
      <c r="M46" s="1133"/>
      <c r="N46" s="1133"/>
      <c r="O46" s="1133" t="s">
        <v>1436</v>
      </c>
      <c r="P46" s="1133"/>
      <c r="Q46" s="1133"/>
      <c r="R46" s="1133"/>
      <c r="S46" s="1133"/>
      <c r="T46" s="1133"/>
      <c r="U46" s="1133" t="s">
        <v>1436</v>
      </c>
      <c r="V46" s="1133"/>
      <c r="W46" s="1133"/>
      <c r="X46" s="1133"/>
      <c r="Y46" s="1133"/>
      <c r="Z46" s="1133"/>
      <c r="AA46" s="1134" t="s">
        <v>1436</v>
      </c>
      <c r="AB46" s="1134"/>
      <c r="AC46" s="1134"/>
      <c r="AD46" s="1134"/>
      <c r="AE46" s="1134"/>
      <c r="AF46" s="1134"/>
    </row>
    <row r="47" spans="1:32" ht="14.4" thickTop="1" thickBot="1" x14ac:dyDescent="0.3">
      <c r="A47" s="1132" t="s">
        <v>1434</v>
      </c>
      <c r="B47" s="1132"/>
      <c r="C47" s="1132"/>
      <c r="D47" s="1132"/>
      <c r="E47" s="1132"/>
      <c r="F47" s="1132"/>
      <c r="G47" s="1132"/>
      <c r="H47" s="1132"/>
      <c r="I47" s="1132"/>
      <c r="J47" s="1132"/>
      <c r="K47" s="1133" t="s">
        <v>1517</v>
      </c>
      <c r="L47" s="1133"/>
      <c r="M47" s="1133"/>
      <c r="N47" s="1133"/>
      <c r="O47" s="1133" t="s">
        <v>1436</v>
      </c>
      <c r="P47" s="1133"/>
      <c r="Q47" s="1133"/>
      <c r="R47" s="1133"/>
      <c r="S47" s="1133"/>
      <c r="T47" s="1133"/>
      <c r="U47" s="1133" t="s">
        <v>1436</v>
      </c>
      <c r="V47" s="1133"/>
      <c r="W47" s="1133"/>
      <c r="X47" s="1133"/>
      <c r="Y47" s="1133"/>
      <c r="Z47" s="1133"/>
      <c r="AA47" s="1134" t="s">
        <v>1436</v>
      </c>
      <c r="AB47" s="1134"/>
      <c r="AC47" s="1134"/>
      <c r="AD47" s="1134"/>
      <c r="AE47" s="1134"/>
      <c r="AF47" s="1134"/>
    </row>
    <row r="48" spans="1:32" ht="28.2" customHeight="1" thickTop="1" thickBot="1" x14ac:dyDescent="0.3">
      <c r="A48" s="1132" t="s">
        <v>1437</v>
      </c>
      <c r="B48" s="1132"/>
      <c r="C48" s="1132"/>
      <c r="D48" s="1132"/>
      <c r="E48" s="1132"/>
      <c r="F48" s="1132"/>
      <c r="G48" s="1132"/>
      <c r="H48" s="1132"/>
      <c r="I48" s="1132"/>
      <c r="J48" s="1132"/>
      <c r="K48" s="1133" t="s">
        <v>1518</v>
      </c>
      <c r="L48" s="1133"/>
      <c r="M48" s="1133"/>
      <c r="N48" s="1133"/>
      <c r="O48" s="1133" t="s">
        <v>1436</v>
      </c>
      <c r="P48" s="1133"/>
      <c r="Q48" s="1133"/>
      <c r="R48" s="1133"/>
      <c r="S48" s="1133"/>
      <c r="T48" s="1133"/>
      <c r="U48" s="1133" t="s">
        <v>1436</v>
      </c>
      <c r="V48" s="1133"/>
      <c r="W48" s="1133"/>
      <c r="X48" s="1133"/>
      <c r="Y48" s="1133"/>
      <c r="Z48" s="1133"/>
      <c r="AA48" s="1134" t="s">
        <v>1436</v>
      </c>
      <c r="AB48" s="1134"/>
      <c r="AC48" s="1134"/>
      <c r="AD48" s="1134"/>
      <c r="AE48" s="1134"/>
      <c r="AF48" s="1134"/>
    </row>
    <row r="49" spans="1:32" ht="14.4" thickTop="1" thickBot="1" x14ac:dyDescent="0.3">
      <c r="A49" s="1132" t="s">
        <v>1439</v>
      </c>
      <c r="B49" s="1132"/>
      <c r="C49" s="1132"/>
      <c r="D49" s="1132"/>
      <c r="E49" s="1132"/>
      <c r="F49" s="1132"/>
      <c r="G49" s="1132"/>
      <c r="H49" s="1132"/>
      <c r="I49" s="1132"/>
      <c r="J49" s="1132"/>
      <c r="K49" s="1133" t="s">
        <v>1519</v>
      </c>
      <c r="L49" s="1133"/>
      <c r="M49" s="1133"/>
      <c r="N49" s="1133"/>
      <c r="O49" s="1133" t="s">
        <v>1436</v>
      </c>
      <c r="P49" s="1133"/>
      <c r="Q49" s="1133"/>
      <c r="R49" s="1133"/>
      <c r="S49" s="1133"/>
      <c r="T49" s="1133"/>
      <c r="U49" s="1133" t="s">
        <v>1436</v>
      </c>
      <c r="V49" s="1133"/>
      <c r="W49" s="1133"/>
      <c r="X49" s="1133"/>
      <c r="Y49" s="1133"/>
      <c r="Z49" s="1133"/>
      <c r="AA49" s="1134" t="s">
        <v>1436</v>
      </c>
      <c r="AB49" s="1134"/>
      <c r="AC49" s="1134"/>
      <c r="AD49" s="1134"/>
      <c r="AE49" s="1134"/>
      <c r="AF49" s="1134"/>
    </row>
    <row r="50" spans="1:32" ht="14.4" thickTop="1" thickBot="1" x14ac:dyDescent="0.3">
      <c r="A50" s="1132" t="s">
        <v>1442</v>
      </c>
      <c r="B50" s="1132"/>
      <c r="C50" s="1132"/>
      <c r="D50" s="1132"/>
      <c r="E50" s="1132"/>
      <c r="F50" s="1132"/>
      <c r="G50" s="1132"/>
      <c r="H50" s="1132"/>
      <c r="I50" s="1132"/>
      <c r="J50" s="1132"/>
      <c r="K50" s="1133" t="s">
        <v>1520</v>
      </c>
      <c r="L50" s="1133"/>
      <c r="M50" s="1133"/>
      <c r="N50" s="1133"/>
      <c r="O50" s="1133" t="s">
        <v>1436</v>
      </c>
      <c r="P50" s="1133"/>
      <c r="Q50" s="1133"/>
      <c r="R50" s="1133"/>
      <c r="S50" s="1133"/>
      <c r="T50" s="1133"/>
      <c r="U50" s="1133" t="s">
        <v>1436</v>
      </c>
      <c r="V50" s="1133"/>
      <c r="W50" s="1133"/>
      <c r="X50" s="1133"/>
      <c r="Y50" s="1133"/>
      <c r="Z50" s="1133"/>
      <c r="AA50" s="1134" t="s">
        <v>1436</v>
      </c>
      <c r="AB50" s="1134"/>
      <c r="AC50" s="1134"/>
      <c r="AD50" s="1134"/>
      <c r="AE50" s="1134"/>
      <c r="AF50" s="1134"/>
    </row>
    <row r="51" spans="1:32" ht="14.4" thickTop="1" thickBot="1" x14ac:dyDescent="0.3">
      <c r="A51" s="1132" t="s">
        <v>1521</v>
      </c>
      <c r="B51" s="1132"/>
      <c r="C51" s="1132"/>
      <c r="D51" s="1132"/>
      <c r="E51" s="1132"/>
      <c r="F51" s="1132"/>
      <c r="G51" s="1132"/>
      <c r="H51" s="1132"/>
      <c r="I51" s="1132"/>
      <c r="J51" s="1132"/>
      <c r="K51" s="1133" t="s">
        <v>1522</v>
      </c>
      <c r="L51" s="1133"/>
      <c r="M51" s="1133"/>
      <c r="N51" s="1133"/>
      <c r="O51" s="1133" t="s">
        <v>1523</v>
      </c>
      <c r="P51" s="1133"/>
      <c r="Q51" s="1133"/>
      <c r="R51" s="1133"/>
      <c r="S51" s="1133"/>
      <c r="T51" s="1133"/>
      <c r="U51" s="1133" t="s">
        <v>1524</v>
      </c>
      <c r="V51" s="1133"/>
      <c r="W51" s="1133"/>
      <c r="X51" s="1133"/>
      <c r="Y51" s="1133"/>
      <c r="Z51" s="1133"/>
      <c r="AA51" s="1134" t="s">
        <v>1525</v>
      </c>
      <c r="AB51" s="1134"/>
      <c r="AC51" s="1134"/>
      <c r="AD51" s="1134"/>
      <c r="AE51" s="1134"/>
      <c r="AF51" s="1134"/>
    </row>
    <row r="52" spans="1:32" ht="14.4" thickTop="1" thickBot="1" x14ac:dyDescent="0.3">
      <c r="A52" s="1132" t="s">
        <v>1526</v>
      </c>
      <c r="B52" s="1132"/>
      <c r="C52" s="1132"/>
      <c r="D52" s="1132"/>
      <c r="E52" s="1132"/>
      <c r="F52" s="1132"/>
      <c r="G52" s="1132"/>
      <c r="H52" s="1132"/>
      <c r="I52" s="1132"/>
      <c r="J52" s="1132"/>
      <c r="K52" s="1133" t="s">
        <v>1527</v>
      </c>
      <c r="L52" s="1133"/>
      <c r="M52" s="1133"/>
      <c r="N52" s="1133"/>
      <c r="O52" s="1133" t="s">
        <v>1523</v>
      </c>
      <c r="P52" s="1133"/>
      <c r="Q52" s="1133"/>
      <c r="R52" s="1133"/>
      <c r="S52" s="1133"/>
      <c r="T52" s="1133"/>
      <c r="U52" s="1133" t="s">
        <v>1524</v>
      </c>
      <c r="V52" s="1133"/>
      <c r="W52" s="1133"/>
      <c r="X52" s="1133"/>
      <c r="Y52" s="1133"/>
      <c r="Z52" s="1133"/>
      <c r="AA52" s="1134" t="s">
        <v>1525</v>
      </c>
      <c r="AB52" s="1134"/>
      <c r="AC52" s="1134"/>
      <c r="AD52" s="1134"/>
      <c r="AE52" s="1134"/>
      <c r="AF52" s="1134"/>
    </row>
    <row r="53" spans="1:32" ht="14.4" thickTop="1" thickBot="1" x14ac:dyDescent="0.3">
      <c r="A53" s="1132" t="s">
        <v>1434</v>
      </c>
      <c r="B53" s="1132"/>
      <c r="C53" s="1132"/>
      <c r="D53" s="1132"/>
      <c r="E53" s="1132"/>
      <c r="F53" s="1132"/>
      <c r="G53" s="1132"/>
      <c r="H53" s="1132"/>
      <c r="I53" s="1132"/>
      <c r="J53" s="1132"/>
      <c r="K53" s="1133" t="s">
        <v>1528</v>
      </c>
      <c r="L53" s="1133"/>
      <c r="M53" s="1133"/>
      <c r="N53" s="1133"/>
      <c r="O53" s="1133" t="s">
        <v>1436</v>
      </c>
      <c r="P53" s="1133"/>
      <c r="Q53" s="1133"/>
      <c r="R53" s="1133"/>
      <c r="S53" s="1133"/>
      <c r="T53" s="1133"/>
      <c r="U53" s="1133" t="s">
        <v>1436</v>
      </c>
      <c r="V53" s="1133"/>
      <c r="W53" s="1133"/>
      <c r="X53" s="1133"/>
      <c r="Y53" s="1133"/>
      <c r="Z53" s="1133"/>
      <c r="AA53" s="1134" t="s">
        <v>1436</v>
      </c>
      <c r="AB53" s="1134"/>
      <c r="AC53" s="1134"/>
      <c r="AD53" s="1134"/>
      <c r="AE53" s="1134"/>
      <c r="AF53" s="1134"/>
    </row>
    <row r="54" spans="1:32" ht="25.95" customHeight="1" thickTop="1" thickBot="1" x14ac:dyDescent="0.3">
      <c r="A54" s="1132" t="s">
        <v>1437</v>
      </c>
      <c r="B54" s="1132"/>
      <c r="C54" s="1132"/>
      <c r="D54" s="1132"/>
      <c r="E54" s="1132"/>
      <c r="F54" s="1132"/>
      <c r="G54" s="1132"/>
      <c r="H54" s="1132"/>
      <c r="I54" s="1132"/>
      <c r="J54" s="1132"/>
      <c r="K54" s="1133" t="s">
        <v>1529</v>
      </c>
      <c r="L54" s="1133"/>
      <c r="M54" s="1133"/>
      <c r="N54" s="1133"/>
      <c r="O54" s="1133" t="s">
        <v>1436</v>
      </c>
      <c r="P54" s="1133"/>
      <c r="Q54" s="1133"/>
      <c r="R54" s="1133"/>
      <c r="S54" s="1133"/>
      <c r="T54" s="1133"/>
      <c r="U54" s="1133" t="s">
        <v>1436</v>
      </c>
      <c r="V54" s="1133"/>
      <c r="W54" s="1133"/>
      <c r="X54" s="1133"/>
      <c r="Y54" s="1133"/>
      <c r="Z54" s="1133"/>
      <c r="AA54" s="1134" t="s">
        <v>1436</v>
      </c>
      <c r="AB54" s="1134"/>
      <c r="AC54" s="1134"/>
      <c r="AD54" s="1134"/>
      <c r="AE54" s="1134"/>
      <c r="AF54" s="1134"/>
    </row>
    <row r="55" spans="1:32" ht="14.4" thickTop="1" thickBot="1" x14ac:dyDescent="0.3">
      <c r="A55" s="1132" t="s">
        <v>1439</v>
      </c>
      <c r="B55" s="1132"/>
      <c r="C55" s="1132"/>
      <c r="D55" s="1132"/>
      <c r="E55" s="1132"/>
      <c r="F55" s="1132"/>
      <c r="G55" s="1132"/>
      <c r="H55" s="1132"/>
      <c r="I55" s="1132"/>
      <c r="J55" s="1132"/>
      <c r="K55" s="1133" t="s">
        <v>1530</v>
      </c>
      <c r="L55" s="1133"/>
      <c r="M55" s="1133"/>
      <c r="N55" s="1133"/>
      <c r="O55" s="1133" t="s">
        <v>1436</v>
      </c>
      <c r="P55" s="1133"/>
      <c r="Q55" s="1133"/>
      <c r="R55" s="1133"/>
      <c r="S55" s="1133"/>
      <c r="T55" s="1133"/>
      <c r="U55" s="1133" t="s">
        <v>1436</v>
      </c>
      <c r="V55" s="1133"/>
      <c r="W55" s="1133"/>
      <c r="X55" s="1133"/>
      <c r="Y55" s="1133"/>
      <c r="Z55" s="1133"/>
      <c r="AA55" s="1134" t="s">
        <v>1436</v>
      </c>
      <c r="AB55" s="1134"/>
      <c r="AC55" s="1134"/>
      <c r="AD55" s="1134"/>
      <c r="AE55" s="1134"/>
      <c r="AF55" s="1134"/>
    </row>
    <row r="56" spans="1:32" ht="14.4" thickTop="1" thickBot="1" x14ac:dyDescent="0.3">
      <c r="A56" s="1132" t="s">
        <v>1442</v>
      </c>
      <c r="B56" s="1132"/>
      <c r="C56" s="1132"/>
      <c r="D56" s="1132"/>
      <c r="E56" s="1132"/>
      <c r="F56" s="1132"/>
      <c r="G56" s="1132"/>
      <c r="H56" s="1132"/>
      <c r="I56" s="1132"/>
      <c r="J56" s="1132"/>
      <c r="K56" s="1133" t="s">
        <v>1531</v>
      </c>
      <c r="L56" s="1133"/>
      <c r="M56" s="1133"/>
      <c r="N56" s="1133"/>
      <c r="O56" s="1133" t="s">
        <v>1523</v>
      </c>
      <c r="P56" s="1133"/>
      <c r="Q56" s="1133"/>
      <c r="R56" s="1133"/>
      <c r="S56" s="1133"/>
      <c r="T56" s="1133"/>
      <c r="U56" s="1133" t="s">
        <v>1524</v>
      </c>
      <c r="V56" s="1133"/>
      <c r="W56" s="1133"/>
      <c r="X56" s="1133"/>
      <c r="Y56" s="1133"/>
      <c r="Z56" s="1133"/>
      <c r="AA56" s="1134" t="s">
        <v>1525</v>
      </c>
      <c r="AB56" s="1134"/>
      <c r="AC56" s="1134"/>
      <c r="AD56" s="1134"/>
      <c r="AE56" s="1134"/>
      <c r="AF56" s="1134"/>
    </row>
    <row r="57" spans="1:32" ht="14.4" thickTop="1" thickBot="1" x14ac:dyDescent="0.3">
      <c r="A57" s="1132" t="s">
        <v>1532</v>
      </c>
      <c r="B57" s="1132"/>
      <c r="C57" s="1132"/>
      <c r="D57" s="1132"/>
      <c r="E57" s="1132"/>
      <c r="F57" s="1132"/>
      <c r="G57" s="1132"/>
      <c r="H57" s="1132"/>
      <c r="I57" s="1132"/>
      <c r="J57" s="1132"/>
      <c r="K57" s="1133" t="s">
        <v>1533</v>
      </c>
      <c r="L57" s="1133"/>
      <c r="M57" s="1133"/>
      <c r="N57" s="1133"/>
      <c r="O57" s="1133" t="s">
        <v>1436</v>
      </c>
      <c r="P57" s="1133"/>
      <c r="Q57" s="1133"/>
      <c r="R57" s="1133"/>
      <c r="S57" s="1133"/>
      <c r="T57" s="1133"/>
      <c r="U57" s="1133" t="s">
        <v>1436</v>
      </c>
      <c r="V57" s="1133"/>
      <c r="W57" s="1133"/>
      <c r="X57" s="1133"/>
      <c r="Y57" s="1133"/>
      <c r="Z57" s="1133"/>
      <c r="AA57" s="1134" t="s">
        <v>1436</v>
      </c>
      <c r="AB57" s="1134"/>
      <c r="AC57" s="1134"/>
      <c r="AD57" s="1134"/>
      <c r="AE57" s="1134"/>
      <c r="AF57" s="1134"/>
    </row>
    <row r="58" spans="1:32" ht="14.4" thickTop="1" thickBot="1" x14ac:dyDescent="0.3">
      <c r="A58" s="1132" t="s">
        <v>1434</v>
      </c>
      <c r="B58" s="1132"/>
      <c r="C58" s="1132"/>
      <c r="D58" s="1132"/>
      <c r="E58" s="1132"/>
      <c r="F58" s="1132"/>
      <c r="G58" s="1132"/>
      <c r="H58" s="1132"/>
      <c r="I58" s="1132"/>
      <c r="J58" s="1132"/>
      <c r="K58" s="1133" t="s">
        <v>1534</v>
      </c>
      <c r="L58" s="1133"/>
      <c r="M58" s="1133"/>
      <c r="N58" s="1133"/>
      <c r="O58" s="1133" t="s">
        <v>1436</v>
      </c>
      <c r="P58" s="1133"/>
      <c r="Q58" s="1133"/>
      <c r="R58" s="1133"/>
      <c r="S58" s="1133"/>
      <c r="T58" s="1133"/>
      <c r="U58" s="1133" t="s">
        <v>1436</v>
      </c>
      <c r="V58" s="1133"/>
      <c r="W58" s="1133"/>
      <c r="X58" s="1133"/>
      <c r="Y58" s="1133"/>
      <c r="Z58" s="1133"/>
      <c r="AA58" s="1134" t="s">
        <v>1436</v>
      </c>
      <c r="AB58" s="1134"/>
      <c r="AC58" s="1134"/>
      <c r="AD58" s="1134"/>
      <c r="AE58" s="1134"/>
      <c r="AF58" s="1134"/>
    </row>
    <row r="59" spans="1:32" ht="27.6" customHeight="1" thickTop="1" thickBot="1" x14ac:dyDescent="0.3">
      <c r="A59" s="1132" t="s">
        <v>1437</v>
      </c>
      <c r="B59" s="1132"/>
      <c r="C59" s="1132"/>
      <c r="D59" s="1132"/>
      <c r="E59" s="1132"/>
      <c r="F59" s="1132"/>
      <c r="G59" s="1132"/>
      <c r="H59" s="1132"/>
      <c r="I59" s="1132"/>
      <c r="J59" s="1132"/>
      <c r="K59" s="1133" t="s">
        <v>1535</v>
      </c>
      <c r="L59" s="1133"/>
      <c r="M59" s="1133"/>
      <c r="N59" s="1133"/>
      <c r="O59" s="1133" t="s">
        <v>1436</v>
      </c>
      <c r="P59" s="1133"/>
      <c r="Q59" s="1133"/>
      <c r="R59" s="1133"/>
      <c r="S59" s="1133"/>
      <c r="T59" s="1133"/>
      <c r="U59" s="1133" t="s">
        <v>1436</v>
      </c>
      <c r="V59" s="1133"/>
      <c r="W59" s="1133"/>
      <c r="X59" s="1133"/>
      <c r="Y59" s="1133"/>
      <c r="Z59" s="1133"/>
      <c r="AA59" s="1134" t="s">
        <v>1436</v>
      </c>
      <c r="AB59" s="1134"/>
      <c r="AC59" s="1134"/>
      <c r="AD59" s="1134"/>
      <c r="AE59" s="1134"/>
      <c r="AF59" s="1134"/>
    </row>
    <row r="60" spans="1:32" ht="14.4" thickTop="1" thickBot="1" x14ac:dyDescent="0.3">
      <c r="A60" s="1132" t="s">
        <v>1439</v>
      </c>
      <c r="B60" s="1132"/>
      <c r="C60" s="1132"/>
      <c r="D60" s="1132"/>
      <c r="E60" s="1132"/>
      <c r="F60" s="1132"/>
      <c r="G60" s="1132"/>
      <c r="H60" s="1132"/>
      <c r="I60" s="1132"/>
      <c r="J60" s="1132"/>
      <c r="K60" s="1133" t="s">
        <v>1536</v>
      </c>
      <c r="L60" s="1133"/>
      <c r="M60" s="1133"/>
      <c r="N60" s="1133"/>
      <c r="O60" s="1133" t="s">
        <v>1436</v>
      </c>
      <c r="P60" s="1133"/>
      <c r="Q60" s="1133"/>
      <c r="R60" s="1133"/>
      <c r="S60" s="1133"/>
      <c r="T60" s="1133"/>
      <c r="U60" s="1133" t="s">
        <v>1436</v>
      </c>
      <c r="V60" s="1133"/>
      <c r="W60" s="1133"/>
      <c r="X60" s="1133"/>
      <c r="Y60" s="1133"/>
      <c r="Z60" s="1133"/>
      <c r="AA60" s="1134" t="s">
        <v>1436</v>
      </c>
      <c r="AB60" s="1134"/>
      <c r="AC60" s="1134"/>
      <c r="AD60" s="1134"/>
      <c r="AE60" s="1134"/>
      <c r="AF60" s="1134"/>
    </row>
    <row r="61" spans="1:32" ht="14.4" thickTop="1" thickBot="1" x14ac:dyDescent="0.3">
      <c r="A61" s="1132" t="s">
        <v>1442</v>
      </c>
      <c r="B61" s="1132"/>
      <c r="C61" s="1132"/>
      <c r="D61" s="1132"/>
      <c r="E61" s="1132"/>
      <c r="F61" s="1132"/>
      <c r="G61" s="1132"/>
      <c r="H61" s="1132"/>
      <c r="I61" s="1132"/>
      <c r="J61" s="1132"/>
      <c r="K61" s="1133" t="s">
        <v>1537</v>
      </c>
      <c r="L61" s="1133"/>
      <c r="M61" s="1133"/>
      <c r="N61" s="1133"/>
      <c r="O61" s="1133" t="s">
        <v>1436</v>
      </c>
      <c r="P61" s="1133"/>
      <c r="Q61" s="1133"/>
      <c r="R61" s="1133"/>
      <c r="S61" s="1133"/>
      <c r="T61" s="1133"/>
      <c r="U61" s="1133" t="s">
        <v>1436</v>
      </c>
      <c r="V61" s="1133"/>
      <c r="W61" s="1133"/>
      <c r="X61" s="1133"/>
      <c r="Y61" s="1133"/>
      <c r="Z61" s="1133"/>
      <c r="AA61" s="1134" t="s">
        <v>1436</v>
      </c>
      <c r="AB61" s="1134"/>
      <c r="AC61" s="1134"/>
      <c r="AD61" s="1134"/>
      <c r="AE61" s="1134"/>
      <c r="AF61" s="1134"/>
    </row>
    <row r="62" spans="1:32" ht="27" customHeight="1" thickTop="1" thickBot="1" x14ac:dyDescent="0.3">
      <c r="A62" s="1132" t="s">
        <v>1538</v>
      </c>
      <c r="B62" s="1132"/>
      <c r="C62" s="1132"/>
      <c r="D62" s="1132"/>
      <c r="E62" s="1132"/>
      <c r="F62" s="1132"/>
      <c r="G62" s="1132"/>
      <c r="H62" s="1132"/>
      <c r="I62" s="1132"/>
      <c r="J62" s="1132"/>
      <c r="K62" s="1133" t="s">
        <v>1539</v>
      </c>
      <c r="L62" s="1133"/>
      <c r="M62" s="1133"/>
      <c r="N62" s="1133"/>
      <c r="O62" s="1133" t="s">
        <v>1436</v>
      </c>
      <c r="P62" s="1133"/>
      <c r="Q62" s="1133"/>
      <c r="R62" s="1133"/>
      <c r="S62" s="1133"/>
      <c r="T62" s="1133"/>
      <c r="U62" s="1133" t="s">
        <v>1436</v>
      </c>
      <c r="V62" s="1133"/>
      <c r="W62" s="1133"/>
      <c r="X62" s="1133"/>
      <c r="Y62" s="1133"/>
      <c r="Z62" s="1133"/>
      <c r="AA62" s="1134" t="s">
        <v>1436</v>
      </c>
      <c r="AB62" s="1134"/>
      <c r="AC62" s="1134"/>
      <c r="AD62" s="1134"/>
      <c r="AE62" s="1134"/>
      <c r="AF62" s="1134"/>
    </row>
    <row r="63" spans="1:32" ht="14.4" thickTop="1" thickBot="1" x14ac:dyDescent="0.3">
      <c r="A63" s="1132" t="s">
        <v>1434</v>
      </c>
      <c r="B63" s="1132"/>
      <c r="C63" s="1132"/>
      <c r="D63" s="1132"/>
      <c r="E63" s="1132"/>
      <c r="F63" s="1132"/>
      <c r="G63" s="1132"/>
      <c r="H63" s="1132"/>
      <c r="I63" s="1132"/>
      <c r="J63" s="1132"/>
      <c r="K63" s="1133" t="s">
        <v>1540</v>
      </c>
      <c r="L63" s="1133"/>
      <c r="M63" s="1133"/>
      <c r="N63" s="1133"/>
      <c r="O63" s="1133" t="s">
        <v>1436</v>
      </c>
      <c r="P63" s="1133"/>
      <c r="Q63" s="1133"/>
      <c r="R63" s="1133"/>
      <c r="S63" s="1133"/>
      <c r="T63" s="1133"/>
      <c r="U63" s="1133" t="s">
        <v>1436</v>
      </c>
      <c r="V63" s="1133"/>
      <c r="W63" s="1133"/>
      <c r="X63" s="1133"/>
      <c r="Y63" s="1133"/>
      <c r="Z63" s="1133"/>
      <c r="AA63" s="1134" t="s">
        <v>1436</v>
      </c>
      <c r="AB63" s="1134"/>
      <c r="AC63" s="1134"/>
      <c r="AD63" s="1134"/>
      <c r="AE63" s="1134"/>
      <c r="AF63" s="1134"/>
    </row>
    <row r="64" spans="1:32" ht="26.4" customHeight="1" thickTop="1" thickBot="1" x14ac:dyDescent="0.3">
      <c r="A64" s="1132" t="s">
        <v>1437</v>
      </c>
      <c r="B64" s="1132"/>
      <c r="C64" s="1132"/>
      <c r="D64" s="1132"/>
      <c r="E64" s="1132"/>
      <c r="F64" s="1132"/>
      <c r="G64" s="1132"/>
      <c r="H64" s="1132"/>
      <c r="I64" s="1132"/>
      <c r="J64" s="1132"/>
      <c r="K64" s="1133" t="s">
        <v>1541</v>
      </c>
      <c r="L64" s="1133"/>
      <c r="M64" s="1133"/>
      <c r="N64" s="1133"/>
      <c r="O64" s="1133" t="s">
        <v>1436</v>
      </c>
      <c r="P64" s="1133"/>
      <c r="Q64" s="1133"/>
      <c r="R64" s="1133"/>
      <c r="S64" s="1133"/>
      <c r="T64" s="1133"/>
      <c r="U64" s="1133" t="s">
        <v>1436</v>
      </c>
      <c r="V64" s="1133"/>
      <c r="W64" s="1133"/>
      <c r="X64" s="1133"/>
      <c r="Y64" s="1133"/>
      <c r="Z64" s="1133"/>
      <c r="AA64" s="1134" t="s">
        <v>1436</v>
      </c>
      <c r="AB64" s="1134"/>
      <c r="AC64" s="1134"/>
      <c r="AD64" s="1134"/>
      <c r="AE64" s="1134"/>
      <c r="AF64" s="1134"/>
    </row>
    <row r="65" spans="1:32" ht="14.4" thickTop="1" thickBot="1" x14ac:dyDescent="0.3">
      <c r="A65" s="1132" t="s">
        <v>1439</v>
      </c>
      <c r="B65" s="1132"/>
      <c r="C65" s="1132"/>
      <c r="D65" s="1132"/>
      <c r="E65" s="1132"/>
      <c r="F65" s="1132"/>
      <c r="G65" s="1132"/>
      <c r="H65" s="1132"/>
      <c r="I65" s="1132"/>
      <c r="J65" s="1132"/>
      <c r="K65" s="1133" t="s">
        <v>1542</v>
      </c>
      <c r="L65" s="1133"/>
      <c r="M65" s="1133"/>
      <c r="N65" s="1133"/>
      <c r="O65" s="1133" t="s">
        <v>1436</v>
      </c>
      <c r="P65" s="1133"/>
      <c r="Q65" s="1133"/>
      <c r="R65" s="1133"/>
      <c r="S65" s="1133"/>
      <c r="T65" s="1133"/>
      <c r="U65" s="1133" t="s">
        <v>1436</v>
      </c>
      <c r="V65" s="1133"/>
      <c r="W65" s="1133"/>
      <c r="X65" s="1133"/>
      <c r="Y65" s="1133"/>
      <c r="Z65" s="1133"/>
      <c r="AA65" s="1134" t="s">
        <v>1436</v>
      </c>
      <c r="AB65" s="1134"/>
      <c r="AC65" s="1134"/>
      <c r="AD65" s="1134"/>
      <c r="AE65" s="1134"/>
      <c r="AF65" s="1134"/>
    </row>
    <row r="66" spans="1:32" ht="14.4" thickTop="1" thickBot="1" x14ac:dyDescent="0.3">
      <c r="A66" s="1132" t="s">
        <v>1442</v>
      </c>
      <c r="B66" s="1132"/>
      <c r="C66" s="1132"/>
      <c r="D66" s="1132"/>
      <c r="E66" s="1132"/>
      <c r="F66" s="1132"/>
      <c r="G66" s="1132"/>
      <c r="H66" s="1132"/>
      <c r="I66" s="1132"/>
      <c r="J66" s="1132"/>
      <c r="K66" s="1133" t="s">
        <v>1543</v>
      </c>
      <c r="L66" s="1133"/>
      <c r="M66" s="1133"/>
      <c r="N66" s="1133"/>
      <c r="O66" s="1133" t="s">
        <v>1436</v>
      </c>
      <c r="P66" s="1133"/>
      <c r="Q66" s="1133"/>
      <c r="R66" s="1133"/>
      <c r="S66" s="1133"/>
      <c r="T66" s="1133"/>
      <c r="U66" s="1133" t="s">
        <v>1436</v>
      </c>
      <c r="V66" s="1133"/>
      <c r="W66" s="1133"/>
      <c r="X66" s="1133"/>
      <c r="Y66" s="1133"/>
      <c r="Z66" s="1133"/>
      <c r="AA66" s="1134" t="s">
        <v>1436</v>
      </c>
      <c r="AB66" s="1134"/>
      <c r="AC66" s="1134"/>
      <c r="AD66" s="1134"/>
      <c r="AE66" s="1134"/>
      <c r="AF66" s="1134"/>
    </row>
    <row r="67" spans="1:32" ht="28.2" customHeight="1" thickTop="1" thickBot="1" x14ac:dyDescent="0.3">
      <c r="A67" s="1132" t="s">
        <v>1544</v>
      </c>
      <c r="B67" s="1132"/>
      <c r="C67" s="1132"/>
      <c r="D67" s="1132"/>
      <c r="E67" s="1132"/>
      <c r="F67" s="1132"/>
      <c r="G67" s="1132"/>
      <c r="H67" s="1132"/>
      <c r="I67" s="1132"/>
      <c r="J67" s="1132"/>
      <c r="K67" s="1133" t="s">
        <v>1545</v>
      </c>
      <c r="L67" s="1133"/>
      <c r="M67" s="1133"/>
      <c r="N67" s="1133"/>
      <c r="O67" s="1133" t="s">
        <v>1436</v>
      </c>
      <c r="P67" s="1133"/>
      <c r="Q67" s="1133"/>
      <c r="R67" s="1133"/>
      <c r="S67" s="1133"/>
      <c r="T67" s="1133"/>
      <c r="U67" s="1133" t="s">
        <v>1436</v>
      </c>
      <c r="V67" s="1133"/>
      <c r="W67" s="1133"/>
      <c r="X67" s="1133"/>
      <c r="Y67" s="1133"/>
      <c r="Z67" s="1133"/>
      <c r="AA67" s="1134" t="s">
        <v>1436</v>
      </c>
      <c r="AB67" s="1134"/>
      <c r="AC67" s="1134"/>
      <c r="AD67" s="1134"/>
      <c r="AE67" s="1134"/>
      <c r="AF67" s="1134"/>
    </row>
    <row r="68" spans="1:32" ht="28.2" customHeight="1" thickTop="1" thickBot="1" x14ac:dyDescent="0.3">
      <c r="A68" s="1132" t="s">
        <v>1546</v>
      </c>
      <c r="B68" s="1132"/>
      <c r="C68" s="1132"/>
      <c r="D68" s="1132"/>
      <c r="E68" s="1132"/>
      <c r="F68" s="1132"/>
      <c r="G68" s="1132"/>
      <c r="H68" s="1132"/>
      <c r="I68" s="1132"/>
      <c r="J68" s="1132"/>
      <c r="K68" s="1133" t="s">
        <v>1547</v>
      </c>
      <c r="L68" s="1133"/>
      <c r="M68" s="1133"/>
      <c r="N68" s="1133"/>
      <c r="O68" s="1133" t="s">
        <v>1436</v>
      </c>
      <c r="P68" s="1133"/>
      <c r="Q68" s="1133"/>
      <c r="R68" s="1133"/>
      <c r="S68" s="1133"/>
      <c r="T68" s="1133"/>
      <c r="U68" s="1133" t="s">
        <v>1436</v>
      </c>
      <c r="V68" s="1133"/>
      <c r="W68" s="1133"/>
      <c r="X68" s="1133"/>
      <c r="Y68" s="1133"/>
      <c r="Z68" s="1133"/>
      <c r="AA68" s="1134" t="s">
        <v>1436</v>
      </c>
      <c r="AB68" s="1134"/>
      <c r="AC68" s="1134"/>
      <c r="AD68" s="1134"/>
      <c r="AE68" s="1134"/>
      <c r="AF68" s="1134"/>
    </row>
    <row r="69" spans="1:32" ht="14.4" thickTop="1" thickBot="1" x14ac:dyDescent="0.3">
      <c r="A69" s="1132" t="s">
        <v>1434</v>
      </c>
      <c r="B69" s="1132"/>
      <c r="C69" s="1132"/>
      <c r="D69" s="1132"/>
      <c r="E69" s="1132"/>
      <c r="F69" s="1132"/>
      <c r="G69" s="1132"/>
      <c r="H69" s="1132"/>
      <c r="I69" s="1132"/>
      <c r="J69" s="1132"/>
      <c r="K69" s="1133" t="s">
        <v>1548</v>
      </c>
      <c r="L69" s="1133"/>
      <c r="M69" s="1133"/>
      <c r="N69" s="1133"/>
      <c r="O69" s="1133" t="s">
        <v>1436</v>
      </c>
      <c r="P69" s="1133"/>
      <c r="Q69" s="1133"/>
      <c r="R69" s="1133"/>
      <c r="S69" s="1133"/>
      <c r="T69" s="1133"/>
      <c r="U69" s="1133" t="s">
        <v>1436</v>
      </c>
      <c r="V69" s="1133"/>
      <c r="W69" s="1133"/>
      <c r="X69" s="1133"/>
      <c r="Y69" s="1133"/>
      <c r="Z69" s="1133"/>
      <c r="AA69" s="1134" t="s">
        <v>1436</v>
      </c>
      <c r="AB69" s="1134"/>
      <c r="AC69" s="1134"/>
      <c r="AD69" s="1134"/>
      <c r="AE69" s="1134"/>
      <c r="AF69" s="1134"/>
    </row>
    <row r="70" spans="1:32" ht="28.95" customHeight="1" thickTop="1" thickBot="1" x14ac:dyDescent="0.3">
      <c r="A70" s="1132" t="s">
        <v>1437</v>
      </c>
      <c r="B70" s="1132"/>
      <c r="C70" s="1132"/>
      <c r="D70" s="1132"/>
      <c r="E70" s="1132"/>
      <c r="F70" s="1132"/>
      <c r="G70" s="1132"/>
      <c r="H70" s="1132"/>
      <c r="I70" s="1132"/>
      <c r="J70" s="1132"/>
      <c r="K70" s="1133" t="s">
        <v>1549</v>
      </c>
      <c r="L70" s="1133"/>
      <c r="M70" s="1133"/>
      <c r="N70" s="1133"/>
      <c r="O70" s="1133" t="s">
        <v>1436</v>
      </c>
      <c r="P70" s="1133"/>
      <c r="Q70" s="1133"/>
      <c r="R70" s="1133"/>
      <c r="S70" s="1133"/>
      <c r="T70" s="1133"/>
      <c r="U70" s="1133" t="s">
        <v>1436</v>
      </c>
      <c r="V70" s="1133"/>
      <c r="W70" s="1133"/>
      <c r="X70" s="1133"/>
      <c r="Y70" s="1133"/>
      <c r="Z70" s="1133"/>
      <c r="AA70" s="1134" t="s">
        <v>1436</v>
      </c>
      <c r="AB70" s="1134"/>
      <c r="AC70" s="1134"/>
      <c r="AD70" s="1134"/>
      <c r="AE70" s="1134"/>
      <c r="AF70" s="1134"/>
    </row>
    <row r="71" spans="1:32" ht="14.4" thickTop="1" thickBot="1" x14ac:dyDescent="0.3">
      <c r="A71" s="1132" t="s">
        <v>1439</v>
      </c>
      <c r="B71" s="1132"/>
      <c r="C71" s="1132"/>
      <c r="D71" s="1132"/>
      <c r="E71" s="1132"/>
      <c r="F71" s="1132"/>
      <c r="G71" s="1132"/>
      <c r="H71" s="1132"/>
      <c r="I71" s="1132"/>
      <c r="J71" s="1132"/>
      <c r="K71" s="1133" t="s">
        <v>1550</v>
      </c>
      <c r="L71" s="1133"/>
      <c r="M71" s="1133"/>
      <c r="N71" s="1133"/>
      <c r="O71" s="1133" t="s">
        <v>1436</v>
      </c>
      <c r="P71" s="1133"/>
      <c r="Q71" s="1133"/>
      <c r="R71" s="1133"/>
      <c r="S71" s="1133"/>
      <c r="T71" s="1133"/>
      <c r="U71" s="1133" t="s">
        <v>1436</v>
      </c>
      <c r="V71" s="1133"/>
      <c r="W71" s="1133"/>
      <c r="X71" s="1133"/>
      <c r="Y71" s="1133"/>
      <c r="Z71" s="1133"/>
      <c r="AA71" s="1134" t="s">
        <v>1436</v>
      </c>
      <c r="AB71" s="1134"/>
      <c r="AC71" s="1134"/>
      <c r="AD71" s="1134"/>
      <c r="AE71" s="1134"/>
      <c r="AF71" s="1134"/>
    </row>
    <row r="72" spans="1:32" ht="14.4" thickTop="1" thickBot="1" x14ac:dyDescent="0.3">
      <c r="A72" s="1132" t="s">
        <v>1442</v>
      </c>
      <c r="B72" s="1132"/>
      <c r="C72" s="1132"/>
      <c r="D72" s="1132"/>
      <c r="E72" s="1132"/>
      <c r="F72" s="1132"/>
      <c r="G72" s="1132"/>
      <c r="H72" s="1132"/>
      <c r="I72" s="1132"/>
      <c r="J72" s="1132"/>
      <c r="K72" s="1133" t="s">
        <v>1551</v>
      </c>
      <c r="L72" s="1133"/>
      <c r="M72" s="1133"/>
      <c r="N72" s="1133"/>
      <c r="O72" s="1133" t="s">
        <v>1436</v>
      </c>
      <c r="P72" s="1133"/>
      <c r="Q72" s="1133"/>
      <c r="R72" s="1133"/>
      <c r="S72" s="1133"/>
      <c r="T72" s="1133"/>
      <c r="U72" s="1133" t="s">
        <v>1436</v>
      </c>
      <c r="V72" s="1133"/>
      <c r="W72" s="1133"/>
      <c r="X72" s="1133"/>
      <c r="Y72" s="1133"/>
      <c r="Z72" s="1133"/>
      <c r="AA72" s="1134" t="s">
        <v>1436</v>
      </c>
      <c r="AB72" s="1134"/>
      <c r="AC72" s="1134"/>
      <c r="AD72" s="1134"/>
      <c r="AE72" s="1134"/>
      <c r="AF72" s="1134"/>
    </row>
    <row r="73" spans="1:32" ht="27.6" customHeight="1" thickTop="1" thickBot="1" x14ac:dyDescent="0.3">
      <c r="A73" s="1132" t="s">
        <v>1552</v>
      </c>
      <c r="B73" s="1132"/>
      <c r="C73" s="1132"/>
      <c r="D73" s="1132"/>
      <c r="E73" s="1132"/>
      <c r="F73" s="1132"/>
      <c r="G73" s="1132"/>
      <c r="H73" s="1132"/>
      <c r="I73" s="1132"/>
      <c r="J73" s="1132"/>
      <c r="K73" s="1133" t="s">
        <v>1553</v>
      </c>
      <c r="L73" s="1133"/>
      <c r="M73" s="1133"/>
      <c r="N73" s="1133"/>
      <c r="O73" s="1133" t="s">
        <v>1436</v>
      </c>
      <c r="P73" s="1133"/>
      <c r="Q73" s="1133"/>
      <c r="R73" s="1133"/>
      <c r="S73" s="1133"/>
      <c r="T73" s="1133"/>
      <c r="U73" s="1133" t="s">
        <v>1436</v>
      </c>
      <c r="V73" s="1133"/>
      <c r="W73" s="1133"/>
      <c r="X73" s="1133"/>
      <c r="Y73" s="1133"/>
      <c r="Z73" s="1133"/>
      <c r="AA73" s="1134" t="s">
        <v>1436</v>
      </c>
      <c r="AB73" s="1134"/>
      <c r="AC73" s="1134"/>
      <c r="AD73" s="1134"/>
      <c r="AE73" s="1134"/>
      <c r="AF73" s="1134"/>
    </row>
    <row r="74" spans="1:32" ht="14.4" thickTop="1" thickBot="1" x14ac:dyDescent="0.3">
      <c r="A74" s="1132" t="s">
        <v>1434</v>
      </c>
      <c r="B74" s="1132"/>
      <c r="C74" s="1132"/>
      <c r="D74" s="1132"/>
      <c r="E74" s="1132"/>
      <c r="F74" s="1132"/>
      <c r="G74" s="1132"/>
      <c r="H74" s="1132"/>
      <c r="I74" s="1132"/>
      <c r="J74" s="1132"/>
      <c r="K74" s="1133" t="s">
        <v>1554</v>
      </c>
      <c r="L74" s="1133"/>
      <c r="M74" s="1133"/>
      <c r="N74" s="1133"/>
      <c r="O74" s="1133" t="s">
        <v>1436</v>
      </c>
      <c r="P74" s="1133"/>
      <c r="Q74" s="1133"/>
      <c r="R74" s="1133"/>
      <c r="S74" s="1133"/>
      <c r="T74" s="1133"/>
      <c r="U74" s="1133" t="s">
        <v>1436</v>
      </c>
      <c r="V74" s="1133"/>
      <c r="W74" s="1133"/>
      <c r="X74" s="1133"/>
      <c r="Y74" s="1133"/>
      <c r="Z74" s="1133"/>
      <c r="AA74" s="1134" t="s">
        <v>1436</v>
      </c>
      <c r="AB74" s="1134"/>
      <c r="AC74" s="1134"/>
      <c r="AD74" s="1134"/>
      <c r="AE74" s="1134"/>
      <c r="AF74" s="1134"/>
    </row>
    <row r="75" spans="1:32" ht="29.4" customHeight="1" thickTop="1" thickBot="1" x14ac:dyDescent="0.3">
      <c r="A75" s="1132" t="s">
        <v>1437</v>
      </c>
      <c r="B75" s="1132"/>
      <c r="C75" s="1132"/>
      <c r="D75" s="1132"/>
      <c r="E75" s="1132"/>
      <c r="F75" s="1132"/>
      <c r="G75" s="1132"/>
      <c r="H75" s="1132"/>
      <c r="I75" s="1132"/>
      <c r="J75" s="1132"/>
      <c r="K75" s="1133" t="s">
        <v>1555</v>
      </c>
      <c r="L75" s="1133"/>
      <c r="M75" s="1133"/>
      <c r="N75" s="1133"/>
      <c r="O75" s="1133" t="s">
        <v>1436</v>
      </c>
      <c r="P75" s="1133"/>
      <c r="Q75" s="1133"/>
      <c r="R75" s="1133"/>
      <c r="S75" s="1133"/>
      <c r="T75" s="1133"/>
      <c r="U75" s="1133" t="s">
        <v>1436</v>
      </c>
      <c r="V75" s="1133"/>
      <c r="W75" s="1133"/>
      <c r="X75" s="1133"/>
      <c r="Y75" s="1133"/>
      <c r="Z75" s="1133"/>
      <c r="AA75" s="1134" t="s">
        <v>1436</v>
      </c>
      <c r="AB75" s="1134"/>
      <c r="AC75" s="1134"/>
      <c r="AD75" s="1134"/>
      <c r="AE75" s="1134"/>
      <c r="AF75" s="1134"/>
    </row>
    <row r="76" spans="1:32" ht="14.4" thickTop="1" thickBot="1" x14ac:dyDescent="0.3">
      <c r="A76" s="1132" t="s">
        <v>1439</v>
      </c>
      <c r="B76" s="1132"/>
      <c r="C76" s="1132"/>
      <c r="D76" s="1132"/>
      <c r="E76" s="1132"/>
      <c r="F76" s="1132"/>
      <c r="G76" s="1132"/>
      <c r="H76" s="1132"/>
      <c r="I76" s="1132"/>
      <c r="J76" s="1132"/>
      <c r="K76" s="1133" t="s">
        <v>1556</v>
      </c>
      <c r="L76" s="1133"/>
      <c r="M76" s="1133"/>
      <c r="N76" s="1133"/>
      <c r="O76" s="1133" t="s">
        <v>1436</v>
      </c>
      <c r="P76" s="1133"/>
      <c r="Q76" s="1133"/>
      <c r="R76" s="1133"/>
      <c r="S76" s="1133"/>
      <c r="T76" s="1133"/>
      <c r="U76" s="1133" t="s">
        <v>1436</v>
      </c>
      <c r="V76" s="1133"/>
      <c r="W76" s="1133"/>
      <c r="X76" s="1133"/>
      <c r="Y76" s="1133"/>
      <c r="Z76" s="1133"/>
      <c r="AA76" s="1134" t="s">
        <v>1436</v>
      </c>
      <c r="AB76" s="1134"/>
      <c r="AC76" s="1134"/>
      <c r="AD76" s="1134"/>
      <c r="AE76" s="1134"/>
      <c r="AF76" s="1134"/>
    </row>
    <row r="77" spans="1:32" ht="14.4" thickTop="1" thickBot="1" x14ac:dyDescent="0.3">
      <c r="A77" s="1132" t="s">
        <v>1442</v>
      </c>
      <c r="B77" s="1132"/>
      <c r="C77" s="1132"/>
      <c r="D77" s="1132"/>
      <c r="E77" s="1132"/>
      <c r="F77" s="1132"/>
      <c r="G77" s="1132"/>
      <c r="H77" s="1132"/>
      <c r="I77" s="1132"/>
      <c r="J77" s="1132"/>
      <c r="K77" s="1133" t="s">
        <v>1557</v>
      </c>
      <c r="L77" s="1133"/>
      <c r="M77" s="1133"/>
      <c r="N77" s="1133"/>
      <c r="O77" s="1133" t="s">
        <v>1436</v>
      </c>
      <c r="P77" s="1133"/>
      <c r="Q77" s="1133"/>
      <c r="R77" s="1133"/>
      <c r="S77" s="1133"/>
      <c r="T77" s="1133"/>
      <c r="U77" s="1133" t="s">
        <v>1436</v>
      </c>
      <c r="V77" s="1133"/>
      <c r="W77" s="1133"/>
      <c r="X77" s="1133"/>
      <c r="Y77" s="1133"/>
      <c r="Z77" s="1133"/>
      <c r="AA77" s="1134" t="s">
        <v>1436</v>
      </c>
      <c r="AB77" s="1134"/>
      <c r="AC77" s="1134"/>
      <c r="AD77" s="1134"/>
      <c r="AE77" s="1134"/>
      <c r="AF77" s="1134"/>
    </row>
    <row r="78" spans="1:32" ht="25.95" customHeight="1" thickTop="1" thickBot="1" x14ac:dyDescent="0.3">
      <c r="A78" s="1132" t="s">
        <v>1558</v>
      </c>
      <c r="B78" s="1132"/>
      <c r="C78" s="1132"/>
      <c r="D78" s="1132"/>
      <c r="E78" s="1132"/>
      <c r="F78" s="1132"/>
      <c r="G78" s="1132"/>
      <c r="H78" s="1132"/>
      <c r="I78" s="1132"/>
      <c r="J78" s="1132"/>
      <c r="K78" s="1133" t="s">
        <v>1280</v>
      </c>
      <c r="L78" s="1133"/>
      <c r="M78" s="1133"/>
      <c r="N78" s="1133"/>
      <c r="O78" s="1133" t="s">
        <v>1559</v>
      </c>
      <c r="P78" s="1133"/>
      <c r="Q78" s="1133"/>
      <c r="R78" s="1133"/>
      <c r="S78" s="1133"/>
      <c r="T78" s="1133"/>
      <c r="U78" s="1133" t="s">
        <v>1560</v>
      </c>
      <c r="V78" s="1133"/>
      <c r="W78" s="1133"/>
      <c r="X78" s="1133"/>
      <c r="Y78" s="1133"/>
      <c r="Z78" s="1133"/>
      <c r="AA78" s="1134" t="s">
        <v>1561</v>
      </c>
      <c r="AB78" s="1134"/>
      <c r="AC78" s="1134"/>
      <c r="AD78" s="1134"/>
      <c r="AE78" s="1134"/>
      <c r="AF78" s="1134"/>
    </row>
    <row r="79" spans="1:32" ht="14.4" thickTop="1" thickBot="1" x14ac:dyDescent="0.3">
      <c r="A79" s="1132" t="s">
        <v>1562</v>
      </c>
      <c r="B79" s="1132"/>
      <c r="C79" s="1132"/>
      <c r="D79" s="1132"/>
      <c r="E79" s="1132"/>
      <c r="F79" s="1132"/>
      <c r="G79" s="1132"/>
      <c r="H79" s="1132"/>
      <c r="I79" s="1132"/>
      <c r="J79" s="1132"/>
      <c r="K79" s="1133" t="s">
        <v>1563</v>
      </c>
      <c r="L79" s="1133"/>
      <c r="M79" s="1133"/>
      <c r="N79" s="1133"/>
      <c r="O79" s="1133" t="s">
        <v>1559</v>
      </c>
      <c r="P79" s="1133"/>
      <c r="Q79" s="1133"/>
      <c r="R79" s="1133"/>
      <c r="S79" s="1133"/>
      <c r="T79" s="1133"/>
      <c r="U79" s="1133" t="s">
        <v>1560</v>
      </c>
      <c r="V79" s="1133"/>
      <c r="W79" s="1133"/>
      <c r="X79" s="1133"/>
      <c r="Y79" s="1133"/>
      <c r="Z79" s="1133"/>
      <c r="AA79" s="1134" t="s">
        <v>1561</v>
      </c>
      <c r="AB79" s="1134"/>
      <c r="AC79" s="1134"/>
      <c r="AD79" s="1134"/>
      <c r="AE79" s="1134"/>
      <c r="AF79" s="1134"/>
    </row>
    <row r="80" spans="1:32" ht="14.4" thickTop="1" thickBot="1" x14ac:dyDescent="0.3">
      <c r="A80" s="1132" t="s">
        <v>1564</v>
      </c>
      <c r="B80" s="1132"/>
      <c r="C80" s="1132"/>
      <c r="D80" s="1132"/>
      <c r="E80" s="1132"/>
      <c r="F80" s="1132"/>
      <c r="G80" s="1132"/>
      <c r="H80" s="1132"/>
      <c r="I80" s="1132"/>
      <c r="J80" s="1132"/>
      <c r="K80" s="1133" t="s">
        <v>1565</v>
      </c>
      <c r="L80" s="1133"/>
      <c r="M80" s="1133"/>
      <c r="N80" s="1133"/>
      <c r="O80" s="1133" t="s">
        <v>1436</v>
      </c>
      <c r="P80" s="1133"/>
      <c r="Q80" s="1133"/>
      <c r="R80" s="1133"/>
      <c r="S80" s="1133"/>
      <c r="T80" s="1133"/>
      <c r="U80" s="1133" t="s">
        <v>1436</v>
      </c>
      <c r="V80" s="1133"/>
      <c r="W80" s="1133"/>
      <c r="X80" s="1133"/>
      <c r="Y80" s="1133"/>
      <c r="Z80" s="1133"/>
      <c r="AA80" s="1134" t="s">
        <v>1436</v>
      </c>
      <c r="AB80" s="1134"/>
      <c r="AC80" s="1134"/>
      <c r="AD80" s="1134"/>
      <c r="AE80" s="1134"/>
      <c r="AF80" s="1134"/>
    </row>
    <row r="81" spans="1:32" ht="14.4" thickTop="1" thickBot="1" x14ac:dyDescent="0.3">
      <c r="A81" s="1132" t="s">
        <v>1566</v>
      </c>
      <c r="B81" s="1132"/>
      <c r="C81" s="1132"/>
      <c r="D81" s="1132"/>
      <c r="E81" s="1132"/>
      <c r="F81" s="1132"/>
      <c r="G81" s="1132"/>
      <c r="H81" s="1132"/>
      <c r="I81" s="1132"/>
      <c r="J81" s="1132"/>
      <c r="K81" s="1133" t="s">
        <v>1281</v>
      </c>
      <c r="L81" s="1133"/>
      <c r="M81" s="1133"/>
      <c r="N81" s="1133"/>
      <c r="O81" s="1133" t="s">
        <v>1567</v>
      </c>
      <c r="P81" s="1133"/>
      <c r="Q81" s="1133"/>
      <c r="R81" s="1133"/>
      <c r="S81" s="1133"/>
      <c r="T81" s="1133"/>
      <c r="U81" s="1133" t="s">
        <v>1568</v>
      </c>
      <c r="V81" s="1133"/>
      <c r="W81" s="1133"/>
      <c r="X81" s="1133"/>
      <c r="Y81" s="1133"/>
      <c r="Z81" s="1133"/>
      <c r="AA81" s="1134" t="s">
        <v>1569</v>
      </c>
      <c r="AB81" s="1134"/>
      <c r="AC81" s="1134"/>
      <c r="AD81" s="1134"/>
      <c r="AE81" s="1134"/>
      <c r="AF81" s="1134"/>
    </row>
    <row r="82" spans="1:32" ht="14.4" thickTop="1" thickBot="1" x14ac:dyDescent="0.3">
      <c r="A82" s="1132" t="s">
        <v>1570</v>
      </c>
      <c r="B82" s="1132"/>
      <c r="C82" s="1132"/>
      <c r="D82" s="1132"/>
      <c r="E82" s="1132"/>
      <c r="F82" s="1132"/>
      <c r="G82" s="1132"/>
      <c r="H82" s="1132"/>
      <c r="I82" s="1132"/>
      <c r="J82" s="1132"/>
      <c r="K82" s="1133" t="s">
        <v>1571</v>
      </c>
      <c r="L82" s="1133"/>
      <c r="M82" s="1133"/>
      <c r="N82" s="1133"/>
      <c r="O82" s="1133" t="s">
        <v>1436</v>
      </c>
      <c r="P82" s="1133"/>
      <c r="Q82" s="1133"/>
      <c r="R82" s="1133"/>
      <c r="S82" s="1133"/>
      <c r="T82" s="1133"/>
      <c r="U82" s="1133" t="s">
        <v>1436</v>
      </c>
      <c r="V82" s="1133"/>
      <c r="W82" s="1133"/>
      <c r="X82" s="1133"/>
      <c r="Y82" s="1133"/>
      <c r="Z82" s="1133"/>
      <c r="AA82" s="1134" t="s">
        <v>1436</v>
      </c>
      <c r="AB82" s="1134"/>
      <c r="AC82" s="1134"/>
      <c r="AD82" s="1134"/>
      <c r="AE82" s="1134"/>
      <c r="AF82" s="1134"/>
    </row>
    <row r="83" spans="1:32" ht="14.4" thickTop="1" thickBot="1" x14ac:dyDescent="0.3">
      <c r="A83" s="1132" t="s">
        <v>1572</v>
      </c>
      <c r="B83" s="1132"/>
      <c r="C83" s="1132"/>
      <c r="D83" s="1132"/>
      <c r="E83" s="1132"/>
      <c r="F83" s="1132"/>
      <c r="G83" s="1132"/>
      <c r="H83" s="1132"/>
      <c r="I83" s="1132"/>
      <c r="J83" s="1132"/>
      <c r="K83" s="1133" t="s">
        <v>1573</v>
      </c>
      <c r="L83" s="1133"/>
      <c r="M83" s="1133"/>
      <c r="N83" s="1133"/>
      <c r="O83" s="1133" t="s">
        <v>1574</v>
      </c>
      <c r="P83" s="1133"/>
      <c r="Q83" s="1133"/>
      <c r="R83" s="1133"/>
      <c r="S83" s="1133"/>
      <c r="T83" s="1133"/>
      <c r="U83" s="1133" t="s">
        <v>1575</v>
      </c>
      <c r="V83" s="1133"/>
      <c r="W83" s="1133"/>
      <c r="X83" s="1133"/>
      <c r="Y83" s="1133"/>
      <c r="Z83" s="1133"/>
      <c r="AA83" s="1134" t="s">
        <v>1576</v>
      </c>
      <c r="AB83" s="1134"/>
      <c r="AC83" s="1134"/>
      <c r="AD83" s="1134"/>
      <c r="AE83" s="1134"/>
      <c r="AF83" s="1134"/>
    </row>
    <row r="84" spans="1:32" ht="14.4" thickTop="1" thickBot="1" x14ac:dyDescent="0.3">
      <c r="A84" s="1132" t="s">
        <v>1577</v>
      </c>
      <c r="B84" s="1132"/>
      <c r="C84" s="1132"/>
      <c r="D84" s="1132"/>
      <c r="E84" s="1132"/>
      <c r="F84" s="1132"/>
      <c r="G84" s="1132"/>
      <c r="H84" s="1132"/>
      <c r="I84" s="1132"/>
      <c r="J84" s="1132"/>
      <c r="K84" s="1133" t="s">
        <v>1578</v>
      </c>
      <c r="L84" s="1133"/>
      <c r="M84" s="1133"/>
      <c r="N84" s="1133"/>
      <c r="O84" s="1133" t="s">
        <v>1579</v>
      </c>
      <c r="P84" s="1133"/>
      <c r="Q84" s="1133"/>
      <c r="R84" s="1133"/>
      <c r="S84" s="1133"/>
      <c r="T84" s="1133"/>
      <c r="U84" s="1133" t="s">
        <v>1580</v>
      </c>
      <c r="V84" s="1133"/>
      <c r="W84" s="1133"/>
      <c r="X84" s="1133"/>
      <c r="Y84" s="1133"/>
      <c r="Z84" s="1133"/>
      <c r="AA84" s="1134" t="s">
        <v>1581</v>
      </c>
      <c r="AB84" s="1134"/>
      <c r="AC84" s="1134"/>
      <c r="AD84" s="1134"/>
      <c r="AE84" s="1134"/>
      <c r="AF84" s="1134"/>
    </row>
    <row r="85" spans="1:32" ht="14.4" thickTop="1" thickBot="1" x14ac:dyDescent="0.3">
      <c r="A85" s="1132" t="s">
        <v>1582</v>
      </c>
      <c r="B85" s="1132"/>
      <c r="C85" s="1132"/>
      <c r="D85" s="1132"/>
      <c r="E85" s="1132"/>
      <c r="F85" s="1132"/>
      <c r="G85" s="1132"/>
      <c r="H85" s="1132"/>
      <c r="I85" s="1132"/>
      <c r="J85" s="1132"/>
      <c r="K85" s="1133" t="s">
        <v>1583</v>
      </c>
      <c r="L85" s="1133"/>
      <c r="M85" s="1133"/>
      <c r="N85" s="1133"/>
      <c r="O85" s="1133" t="s">
        <v>1436</v>
      </c>
      <c r="P85" s="1133"/>
      <c r="Q85" s="1133"/>
      <c r="R85" s="1133"/>
      <c r="S85" s="1133"/>
      <c r="T85" s="1133"/>
      <c r="U85" s="1133" t="s">
        <v>1436</v>
      </c>
      <c r="V85" s="1133"/>
      <c r="W85" s="1133"/>
      <c r="X85" s="1133"/>
      <c r="Y85" s="1133"/>
      <c r="Z85" s="1133"/>
      <c r="AA85" s="1134" t="s">
        <v>1436</v>
      </c>
      <c r="AB85" s="1134"/>
      <c r="AC85" s="1134"/>
      <c r="AD85" s="1134"/>
      <c r="AE85" s="1134"/>
      <c r="AF85" s="1134"/>
    </row>
    <row r="86" spans="1:32" ht="14.4" thickTop="1" thickBot="1" x14ac:dyDescent="0.3">
      <c r="A86" s="1132" t="s">
        <v>1584</v>
      </c>
      <c r="B86" s="1132"/>
      <c r="C86" s="1132"/>
      <c r="D86" s="1132"/>
      <c r="E86" s="1132"/>
      <c r="F86" s="1132"/>
      <c r="G86" s="1132"/>
      <c r="H86" s="1132"/>
      <c r="I86" s="1132"/>
      <c r="J86" s="1132"/>
      <c r="K86" s="1133" t="s">
        <v>1282</v>
      </c>
      <c r="L86" s="1133"/>
      <c r="M86" s="1133"/>
      <c r="N86" s="1133"/>
      <c r="O86" s="1133" t="s">
        <v>1585</v>
      </c>
      <c r="P86" s="1133"/>
      <c r="Q86" s="1133"/>
      <c r="R86" s="1133"/>
      <c r="S86" s="1133"/>
      <c r="T86" s="1133"/>
      <c r="U86" s="1133" t="s">
        <v>1586</v>
      </c>
      <c r="V86" s="1133"/>
      <c r="W86" s="1133"/>
      <c r="X86" s="1133"/>
      <c r="Y86" s="1133"/>
      <c r="Z86" s="1133"/>
      <c r="AA86" s="1134" t="s">
        <v>1587</v>
      </c>
      <c r="AB86" s="1134"/>
      <c r="AC86" s="1134"/>
      <c r="AD86" s="1134"/>
      <c r="AE86" s="1134"/>
      <c r="AF86" s="1134"/>
    </row>
    <row r="87" spans="1:32" ht="14.4" thickTop="1" thickBot="1" x14ac:dyDescent="0.3">
      <c r="A87" s="1132" t="s">
        <v>1588</v>
      </c>
      <c r="B87" s="1132"/>
      <c r="C87" s="1132"/>
      <c r="D87" s="1132"/>
      <c r="E87" s="1132"/>
      <c r="F87" s="1132"/>
      <c r="G87" s="1132"/>
      <c r="H87" s="1132"/>
      <c r="I87" s="1132"/>
      <c r="J87" s="1132"/>
      <c r="K87" s="1133" t="s">
        <v>1589</v>
      </c>
      <c r="L87" s="1133"/>
      <c r="M87" s="1133"/>
      <c r="N87" s="1133"/>
      <c r="O87" s="1133" t="s">
        <v>1590</v>
      </c>
      <c r="P87" s="1133"/>
      <c r="Q87" s="1133"/>
      <c r="R87" s="1133"/>
      <c r="S87" s="1133"/>
      <c r="T87" s="1133"/>
      <c r="U87" s="1133" t="s">
        <v>1591</v>
      </c>
      <c r="V87" s="1133"/>
      <c r="W87" s="1133"/>
      <c r="X87" s="1133"/>
      <c r="Y87" s="1133"/>
      <c r="Z87" s="1133"/>
      <c r="AA87" s="1134" t="s">
        <v>1592</v>
      </c>
      <c r="AB87" s="1134"/>
      <c r="AC87" s="1134"/>
      <c r="AD87" s="1134"/>
      <c r="AE87" s="1134"/>
      <c r="AF87" s="1134"/>
    </row>
    <row r="88" spans="1:32" ht="24.6" customHeight="1" thickTop="1" thickBot="1" x14ac:dyDescent="0.3">
      <c r="A88" s="1132" t="s">
        <v>1593</v>
      </c>
      <c r="B88" s="1132"/>
      <c r="C88" s="1132"/>
      <c r="D88" s="1132"/>
      <c r="E88" s="1132"/>
      <c r="F88" s="1132"/>
      <c r="G88" s="1132"/>
      <c r="H88" s="1132"/>
      <c r="I88" s="1132"/>
      <c r="J88" s="1132"/>
      <c r="K88" s="1133" t="s">
        <v>1594</v>
      </c>
      <c r="L88" s="1133"/>
      <c r="M88" s="1133"/>
      <c r="N88" s="1133"/>
      <c r="O88" s="1133" t="s">
        <v>1595</v>
      </c>
      <c r="P88" s="1133"/>
      <c r="Q88" s="1133"/>
      <c r="R88" s="1133"/>
      <c r="S88" s="1133"/>
      <c r="T88" s="1133"/>
      <c r="U88" s="1133" t="s">
        <v>1596</v>
      </c>
      <c r="V88" s="1133"/>
      <c r="W88" s="1133"/>
      <c r="X88" s="1133"/>
      <c r="Y88" s="1133"/>
      <c r="Z88" s="1133"/>
      <c r="AA88" s="1134" t="s">
        <v>1597</v>
      </c>
      <c r="AB88" s="1134"/>
      <c r="AC88" s="1134"/>
      <c r="AD88" s="1134"/>
      <c r="AE88" s="1134"/>
      <c r="AF88" s="1134"/>
    </row>
    <row r="89" spans="1:32" ht="14.4" thickTop="1" thickBot="1" x14ac:dyDescent="0.3">
      <c r="A89" s="1132" t="s">
        <v>1598</v>
      </c>
      <c r="B89" s="1132"/>
      <c r="C89" s="1132"/>
      <c r="D89" s="1132"/>
      <c r="E89" s="1132"/>
      <c r="F89" s="1132"/>
      <c r="G89" s="1132"/>
      <c r="H89" s="1132"/>
      <c r="I89" s="1132"/>
      <c r="J89" s="1132"/>
      <c r="K89" s="1133" t="s">
        <v>1599</v>
      </c>
      <c r="L89" s="1133"/>
      <c r="M89" s="1133"/>
      <c r="N89" s="1133"/>
      <c r="O89" s="1133" t="s">
        <v>1600</v>
      </c>
      <c r="P89" s="1133"/>
      <c r="Q89" s="1133"/>
      <c r="R89" s="1133"/>
      <c r="S89" s="1133"/>
      <c r="T89" s="1133"/>
      <c r="U89" s="1133" t="s">
        <v>1601</v>
      </c>
      <c r="V89" s="1133"/>
      <c r="W89" s="1133"/>
      <c r="X89" s="1133"/>
      <c r="Y89" s="1133"/>
      <c r="Z89" s="1133"/>
      <c r="AA89" s="1134" t="s">
        <v>1602</v>
      </c>
      <c r="AB89" s="1134"/>
      <c r="AC89" s="1134"/>
      <c r="AD89" s="1134"/>
      <c r="AE89" s="1134"/>
      <c r="AF89" s="1134"/>
    </row>
    <row r="90" spans="1:32" ht="27.6" customHeight="1" thickTop="1" thickBot="1" x14ac:dyDescent="0.3">
      <c r="A90" s="1132" t="s">
        <v>1603</v>
      </c>
      <c r="B90" s="1132"/>
      <c r="C90" s="1132"/>
      <c r="D90" s="1132"/>
      <c r="E90" s="1132"/>
      <c r="F90" s="1132"/>
      <c r="G90" s="1132"/>
      <c r="H90" s="1132"/>
      <c r="I90" s="1132"/>
      <c r="J90" s="1132"/>
      <c r="K90" s="1133" t="s">
        <v>1306</v>
      </c>
      <c r="L90" s="1133"/>
      <c r="M90" s="1133"/>
      <c r="N90" s="1133"/>
      <c r="O90" s="1133" t="s">
        <v>1604</v>
      </c>
      <c r="P90" s="1133"/>
      <c r="Q90" s="1133"/>
      <c r="R90" s="1133"/>
      <c r="S90" s="1133"/>
      <c r="T90" s="1133"/>
      <c r="U90" s="1133" t="s">
        <v>1605</v>
      </c>
      <c r="V90" s="1133"/>
      <c r="W90" s="1133"/>
      <c r="X90" s="1133"/>
      <c r="Y90" s="1133"/>
      <c r="Z90" s="1133"/>
      <c r="AA90" s="1134" t="s">
        <v>1606</v>
      </c>
      <c r="AB90" s="1134"/>
      <c r="AC90" s="1134"/>
      <c r="AD90" s="1134"/>
      <c r="AE90" s="1134"/>
      <c r="AF90" s="1134"/>
    </row>
    <row r="91" spans="1:32" ht="14.4" thickTop="1" thickBot="1" x14ac:dyDescent="0.3">
      <c r="A91" s="1132" t="s">
        <v>1607</v>
      </c>
      <c r="B91" s="1132"/>
      <c r="C91" s="1132"/>
      <c r="D91" s="1132"/>
      <c r="E91" s="1132"/>
      <c r="F91" s="1132"/>
      <c r="G91" s="1132"/>
      <c r="H91" s="1132"/>
      <c r="I91" s="1132"/>
      <c r="J91" s="1132"/>
      <c r="K91" s="1133" t="s">
        <v>1283</v>
      </c>
      <c r="L91" s="1133"/>
      <c r="M91" s="1133"/>
      <c r="N91" s="1133"/>
      <c r="O91" s="1133" t="s">
        <v>1436</v>
      </c>
      <c r="P91" s="1133"/>
      <c r="Q91" s="1133"/>
      <c r="R91" s="1133"/>
      <c r="S91" s="1133"/>
      <c r="T91" s="1133"/>
      <c r="U91" s="1133" t="s">
        <v>1436</v>
      </c>
      <c r="V91" s="1133"/>
      <c r="W91" s="1133"/>
      <c r="X91" s="1133"/>
      <c r="Y91" s="1133"/>
      <c r="Z91" s="1133"/>
      <c r="AA91" s="1134" t="s">
        <v>1436</v>
      </c>
      <c r="AB91" s="1134"/>
      <c r="AC91" s="1134"/>
      <c r="AD91" s="1134"/>
      <c r="AE91" s="1134"/>
      <c r="AF91" s="1134"/>
    </row>
    <row r="92" spans="1:32" ht="14.4" thickTop="1" thickBot="1" x14ac:dyDescent="0.3">
      <c r="A92" s="1132" t="s">
        <v>1608</v>
      </c>
      <c r="B92" s="1132"/>
      <c r="C92" s="1132"/>
      <c r="D92" s="1132"/>
      <c r="E92" s="1132"/>
      <c r="F92" s="1132"/>
      <c r="G92" s="1132"/>
      <c r="H92" s="1132"/>
      <c r="I92" s="1132"/>
      <c r="J92" s="1132"/>
      <c r="K92" s="1133" t="s">
        <v>1609</v>
      </c>
      <c r="L92" s="1133"/>
      <c r="M92" s="1133"/>
      <c r="N92" s="1133"/>
      <c r="O92" s="1133" t="s">
        <v>1610</v>
      </c>
      <c r="P92" s="1133"/>
      <c r="Q92" s="1133"/>
      <c r="R92" s="1133"/>
      <c r="S92" s="1133"/>
      <c r="T92" s="1133"/>
      <c r="U92" s="1133" t="s">
        <v>1611</v>
      </c>
      <c r="V92" s="1133"/>
      <c r="W92" s="1133"/>
      <c r="X92" s="1133"/>
      <c r="Y92" s="1133"/>
      <c r="Z92" s="1133"/>
      <c r="AA92" s="1134" t="s">
        <v>1612</v>
      </c>
      <c r="AB92" s="1134"/>
      <c r="AC92" s="1134"/>
      <c r="AD92" s="1134"/>
      <c r="AE92" s="1134"/>
      <c r="AF92" s="1134"/>
    </row>
    <row r="93" spans="1:32" ht="14.4" thickTop="1" thickBot="1" x14ac:dyDescent="0.3">
      <c r="A93" s="1132" t="s">
        <v>475</v>
      </c>
      <c r="B93" s="1132"/>
      <c r="C93" s="1132"/>
      <c r="D93" s="1132"/>
      <c r="E93" s="1132"/>
      <c r="F93" s="1132"/>
      <c r="G93" s="1132"/>
      <c r="H93" s="1132"/>
      <c r="I93" s="1132"/>
      <c r="J93" s="1132"/>
      <c r="K93" s="1133" t="s">
        <v>475</v>
      </c>
      <c r="L93" s="1133"/>
      <c r="M93" s="1133"/>
      <c r="N93" s="1133"/>
      <c r="O93" s="1133" t="s">
        <v>475</v>
      </c>
      <c r="P93" s="1133"/>
      <c r="Q93" s="1133"/>
      <c r="R93" s="1133"/>
      <c r="S93" s="1133"/>
      <c r="T93" s="1133"/>
      <c r="U93" s="1133" t="s">
        <v>475</v>
      </c>
      <c r="V93" s="1133"/>
      <c r="W93" s="1133"/>
      <c r="X93" s="1133"/>
      <c r="Y93" s="1133"/>
      <c r="Z93" s="1133"/>
      <c r="AA93" s="1134" t="s">
        <v>475</v>
      </c>
      <c r="AB93" s="1134"/>
      <c r="AC93" s="1134"/>
      <c r="AD93" s="1134"/>
      <c r="AE93" s="1134"/>
      <c r="AF93" s="1134"/>
    </row>
    <row r="94" spans="1:32" ht="14.4" thickTop="1" thickBot="1" x14ac:dyDescent="0.3">
      <c r="A94" s="1132" t="s">
        <v>1613</v>
      </c>
      <c r="B94" s="1132"/>
      <c r="C94" s="1132"/>
      <c r="D94" s="1132"/>
      <c r="E94" s="1132"/>
      <c r="F94" s="1132"/>
      <c r="G94" s="1132"/>
      <c r="H94" s="1132"/>
      <c r="I94" s="1132"/>
      <c r="J94" s="1132"/>
      <c r="K94" s="1133" t="s">
        <v>475</v>
      </c>
      <c r="L94" s="1133"/>
      <c r="M94" s="1133"/>
      <c r="N94" s="1133"/>
      <c r="O94" s="1133" t="s">
        <v>475</v>
      </c>
      <c r="P94" s="1133"/>
      <c r="Q94" s="1133"/>
      <c r="R94" s="1133"/>
      <c r="S94" s="1133"/>
      <c r="T94" s="1133"/>
      <c r="U94" s="1133" t="s">
        <v>475</v>
      </c>
      <c r="V94" s="1133"/>
      <c r="W94" s="1133"/>
      <c r="X94" s="1133"/>
      <c r="Y94" s="1133"/>
      <c r="Z94" s="1133"/>
      <c r="AA94" s="1134" t="s">
        <v>475</v>
      </c>
      <c r="AB94" s="1134"/>
      <c r="AC94" s="1134"/>
      <c r="AD94" s="1134"/>
      <c r="AE94" s="1134"/>
      <c r="AF94" s="1134"/>
    </row>
    <row r="95" spans="1:32" ht="14.4" thickTop="1" thickBot="1" x14ac:dyDescent="0.3">
      <c r="A95" s="1132" t="s">
        <v>1614</v>
      </c>
      <c r="B95" s="1132"/>
      <c r="C95" s="1132"/>
      <c r="D95" s="1132"/>
      <c r="E95" s="1132"/>
      <c r="F95" s="1132"/>
      <c r="G95" s="1132"/>
      <c r="H95" s="1132"/>
      <c r="I95" s="1132"/>
      <c r="J95" s="1132"/>
      <c r="K95" s="1133" t="s">
        <v>1284</v>
      </c>
      <c r="L95" s="1133"/>
      <c r="M95" s="1133"/>
      <c r="N95" s="1133"/>
      <c r="O95" s="1133" t="s">
        <v>1615</v>
      </c>
      <c r="P95" s="1133"/>
      <c r="Q95" s="1133"/>
      <c r="R95" s="1133"/>
      <c r="S95" s="1133"/>
      <c r="T95" s="1133"/>
      <c r="U95" s="1133" t="s">
        <v>1616</v>
      </c>
      <c r="V95" s="1133"/>
      <c r="W95" s="1133"/>
      <c r="X95" s="1133"/>
      <c r="Y95" s="1133"/>
      <c r="Z95" s="1133"/>
      <c r="AA95" s="1134" t="s">
        <v>1617</v>
      </c>
      <c r="AB95" s="1134"/>
      <c r="AC95" s="1134"/>
      <c r="AD95" s="1134"/>
      <c r="AE95" s="1134"/>
      <c r="AF95" s="1134"/>
    </row>
    <row r="96" spans="1:32" ht="14.4" thickTop="1" thickBot="1" x14ac:dyDescent="0.3">
      <c r="A96" s="1132" t="s">
        <v>1618</v>
      </c>
      <c r="B96" s="1132"/>
      <c r="C96" s="1132"/>
      <c r="D96" s="1132"/>
      <c r="E96" s="1132"/>
      <c r="F96" s="1132"/>
      <c r="G96" s="1132"/>
      <c r="H96" s="1132"/>
      <c r="I96" s="1132"/>
      <c r="J96" s="1132"/>
      <c r="K96" s="1133" t="s">
        <v>1619</v>
      </c>
      <c r="L96" s="1133"/>
      <c r="M96" s="1133"/>
      <c r="N96" s="1133"/>
      <c r="O96" s="1133" t="s">
        <v>1620</v>
      </c>
      <c r="P96" s="1133"/>
      <c r="Q96" s="1133"/>
      <c r="R96" s="1133"/>
      <c r="S96" s="1133"/>
      <c r="T96" s="1133"/>
      <c r="U96" s="1133" t="s">
        <v>1620</v>
      </c>
      <c r="V96" s="1133"/>
      <c r="W96" s="1133"/>
      <c r="X96" s="1133"/>
      <c r="Y96" s="1133"/>
      <c r="Z96" s="1133"/>
      <c r="AA96" s="1134" t="s">
        <v>720</v>
      </c>
      <c r="AB96" s="1134"/>
      <c r="AC96" s="1134"/>
      <c r="AD96" s="1134"/>
      <c r="AE96" s="1134"/>
      <c r="AF96" s="1134"/>
    </row>
    <row r="97" spans="1:32" ht="14.4" thickTop="1" thickBot="1" x14ac:dyDescent="0.3">
      <c r="A97" s="1132" t="s">
        <v>1621</v>
      </c>
      <c r="B97" s="1132"/>
      <c r="C97" s="1132"/>
      <c r="D97" s="1132"/>
      <c r="E97" s="1132"/>
      <c r="F97" s="1132"/>
      <c r="G97" s="1132"/>
      <c r="H97" s="1132"/>
      <c r="I97" s="1132"/>
      <c r="J97" s="1132"/>
      <c r="K97" s="1133" t="s">
        <v>1622</v>
      </c>
      <c r="L97" s="1133"/>
      <c r="M97" s="1133"/>
      <c r="N97" s="1133"/>
      <c r="O97" s="1133" t="s">
        <v>1623</v>
      </c>
      <c r="P97" s="1133"/>
      <c r="Q97" s="1133"/>
      <c r="R97" s="1133"/>
      <c r="S97" s="1133"/>
      <c r="T97" s="1133"/>
      <c r="U97" s="1133" t="s">
        <v>1624</v>
      </c>
      <c r="V97" s="1133"/>
      <c r="W97" s="1133"/>
      <c r="X97" s="1133"/>
      <c r="Y97" s="1133"/>
      <c r="Z97" s="1133"/>
      <c r="AA97" s="1134" t="s">
        <v>1625</v>
      </c>
      <c r="AB97" s="1134"/>
      <c r="AC97" s="1134"/>
      <c r="AD97" s="1134"/>
      <c r="AE97" s="1134"/>
      <c r="AF97" s="1134"/>
    </row>
    <row r="98" spans="1:32" ht="26.4" customHeight="1" thickTop="1" thickBot="1" x14ac:dyDescent="0.3">
      <c r="A98" s="1132" t="s">
        <v>1626</v>
      </c>
      <c r="B98" s="1132"/>
      <c r="C98" s="1132"/>
      <c r="D98" s="1132"/>
      <c r="E98" s="1132"/>
      <c r="F98" s="1132"/>
      <c r="G98" s="1132"/>
      <c r="H98" s="1132"/>
      <c r="I98" s="1132"/>
      <c r="J98" s="1132"/>
      <c r="K98" s="1133" t="s">
        <v>1627</v>
      </c>
      <c r="L98" s="1133"/>
      <c r="M98" s="1133"/>
      <c r="N98" s="1133"/>
      <c r="O98" s="1133" t="s">
        <v>1628</v>
      </c>
      <c r="P98" s="1133"/>
      <c r="Q98" s="1133"/>
      <c r="R98" s="1133"/>
      <c r="S98" s="1133"/>
      <c r="T98" s="1133"/>
      <c r="U98" s="1133" t="s">
        <v>1629</v>
      </c>
      <c r="V98" s="1133"/>
      <c r="W98" s="1133"/>
      <c r="X98" s="1133"/>
      <c r="Y98" s="1133"/>
      <c r="Z98" s="1133"/>
      <c r="AA98" s="1134" t="s">
        <v>1630</v>
      </c>
      <c r="AB98" s="1134"/>
      <c r="AC98" s="1134"/>
      <c r="AD98" s="1134"/>
      <c r="AE98" s="1134"/>
      <c r="AF98" s="1134"/>
    </row>
    <row r="99" spans="1:32" ht="14.4" thickTop="1" thickBot="1" x14ac:dyDescent="0.3">
      <c r="A99" s="1132" t="s">
        <v>1631</v>
      </c>
      <c r="B99" s="1132"/>
      <c r="C99" s="1132"/>
      <c r="D99" s="1132"/>
      <c r="E99" s="1132"/>
      <c r="F99" s="1132"/>
      <c r="G99" s="1132"/>
      <c r="H99" s="1132"/>
      <c r="I99" s="1132"/>
      <c r="J99" s="1132"/>
      <c r="K99" s="1133" t="s">
        <v>1632</v>
      </c>
      <c r="L99" s="1133"/>
      <c r="M99" s="1133"/>
      <c r="N99" s="1133"/>
      <c r="O99" s="1133" t="s">
        <v>1633</v>
      </c>
      <c r="P99" s="1133"/>
      <c r="Q99" s="1133"/>
      <c r="R99" s="1133"/>
      <c r="S99" s="1133"/>
      <c r="T99" s="1133"/>
      <c r="U99" s="1133" t="s">
        <v>1634</v>
      </c>
      <c r="V99" s="1133"/>
      <c r="W99" s="1133"/>
      <c r="X99" s="1133"/>
      <c r="Y99" s="1133"/>
      <c r="Z99" s="1133"/>
      <c r="AA99" s="1134" t="s">
        <v>1635</v>
      </c>
      <c r="AB99" s="1134"/>
      <c r="AC99" s="1134"/>
      <c r="AD99" s="1134"/>
      <c r="AE99" s="1134"/>
      <c r="AF99" s="1134"/>
    </row>
    <row r="100" spans="1:32" ht="14.4" thickTop="1" thickBot="1" x14ac:dyDescent="0.3">
      <c r="A100" s="1132" t="s">
        <v>1636</v>
      </c>
      <c r="B100" s="1132"/>
      <c r="C100" s="1132"/>
      <c r="D100" s="1132"/>
      <c r="E100" s="1132"/>
      <c r="F100" s="1132"/>
      <c r="G100" s="1132"/>
      <c r="H100" s="1132"/>
      <c r="I100" s="1132"/>
      <c r="J100" s="1132"/>
      <c r="K100" s="1133" t="s">
        <v>1637</v>
      </c>
      <c r="L100" s="1133"/>
      <c r="M100" s="1133"/>
      <c r="N100" s="1133"/>
      <c r="O100" s="1133" t="s">
        <v>1436</v>
      </c>
      <c r="P100" s="1133"/>
      <c r="Q100" s="1133"/>
      <c r="R100" s="1133"/>
      <c r="S100" s="1133"/>
      <c r="T100" s="1133"/>
      <c r="U100" s="1133" t="s">
        <v>1436</v>
      </c>
      <c r="V100" s="1133"/>
      <c r="W100" s="1133"/>
      <c r="X100" s="1133"/>
      <c r="Y100" s="1133"/>
      <c r="Z100" s="1133"/>
      <c r="AA100" s="1134" t="s">
        <v>1436</v>
      </c>
      <c r="AB100" s="1134"/>
      <c r="AC100" s="1134"/>
      <c r="AD100" s="1134"/>
      <c r="AE100" s="1134"/>
      <c r="AF100" s="1134"/>
    </row>
    <row r="101" spans="1:32" ht="14.4" thickTop="1" thickBot="1" x14ac:dyDescent="0.3">
      <c r="A101" s="1132" t="s">
        <v>1638</v>
      </c>
      <c r="B101" s="1132"/>
      <c r="C101" s="1132"/>
      <c r="D101" s="1132"/>
      <c r="E101" s="1132"/>
      <c r="F101" s="1132"/>
      <c r="G101" s="1132"/>
      <c r="H101" s="1132"/>
      <c r="I101" s="1132"/>
      <c r="J101" s="1132"/>
      <c r="K101" s="1133" t="s">
        <v>1639</v>
      </c>
      <c r="L101" s="1133"/>
      <c r="M101" s="1133"/>
      <c r="N101" s="1133"/>
      <c r="O101" s="1133" t="s">
        <v>1640</v>
      </c>
      <c r="P101" s="1133"/>
      <c r="Q101" s="1133"/>
      <c r="R101" s="1133"/>
      <c r="S101" s="1133"/>
      <c r="T101" s="1133"/>
      <c r="U101" s="1133" t="s">
        <v>1641</v>
      </c>
      <c r="V101" s="1133"/>
      <c r="W101" s="1133"/>
      <c r="X101" s="1133"/>
      <c r="Y101" s="1133"/>
      <c r="Z101" s="1133"/>
      <c r="AA101" s="1134" t="s">
        <v>1642</v>
      </c>
      <c r="AB101" s="1134"/>
      <c r="AC101" s="1134"/>
      <c r="AD101" s="1134"/>
      <c r="AE101" s="1134"/>
      <c r="AF101" s="1134"/>
    </row>
    <row r="102" spans="1:32" ht="14.4" thickTop="1" thickBot="1" x14ac:dyDescent="0.3">
      <c r="A102" s="1132" t="s">
        <v>1643</v>
      </c>
      <c r="B102" s="1132"/>
      <c r="C102" s="1132"/>
      <c r="D102" s="1132"/>
      <c r="E102" s="1132"/>
      <c r="F102" s="1132"/>
      <c r="G102" s="1132"/>
      <c r="H102" s="1132"/>
      <c r="I102" s="1132"/>
      <c r="J102" s="1132"/>
      <c r="K102" s="1133" t="s">
        <v>1285</v>
      </c>
      <c r="L102" s="1133"/>
      <c r="M102" s="1133"/>
      <c r="N102" s="1133"/>
      <c r="O102" s="1133" t="s">
        <v>1644</v>
      </c>
      <c r="P102" s="1133"/>
      <c r="Q102" s="1133"/>
      <c r="R102" s="1133"/>
      <c r="S102" s="1133"/>
      <c r="T102" s="1133"/>
      <c r="U102" s="1133" t="s">
        <v>1645</v>
      </c>
      <c r="V102" s="1133"/>
      <c r="W102" s="1133"/>
      <c r="X102" s="1133"/>
      <c r="Y102" s="1133"/>
      <c r="Z102" s="1133"/>
      <c r="AA102" s="1134" t="s">
        <v>1646</v>
      </c>
      <c r="AB102" s="1134"/>
      <c r="AC102" s="1134"/>
      <c r="AD102" s="1134"/>
      <c r="AE102" s="1134"/>
      <c r="AF102" s="1134"/>
    </row>
    <row r="103" spans="1:32" ht="14.4" thickTop="1" thickBot="1" x14ac:dyDescent="0.3">
      <c r="A103" s="1132" t="s">
        <v>1647</v>
      </c>
      <c r="B103" s="1132"/>
      <c r="C103" s="1132"/>
      <c r="D103" s="1132"/>
      <c r="E103" s="1132"/>
      <c r="F103" s="1132"/>
      <c r="G103" s="1132"/>
      <c r="H103" s="1132"/>
      <c r="I103" s="1132"/>
      <c r="J103" s="1132"/>
      <c r="K103" s="1133" t="s">
        <v>1648</v>
      </c>
      <c r="L103" s="1133"/>
      <c r="M103" s="1133"/>
      <c r="N103" s="1133"/>
      <c r="O103" s="1133" t="s">
        <v>1649</v>
      </c>
      <c r="P103" s="1133"/>
      <c r="Q103" s="1133"/>
      <c r="R103" s="1133"/>
      <c r="S103" s="1133"/>
      <c r="T103" s="1133"/>
      <c r="U103" s="1133" t="s">
        <v>1650</v>
      </c>
      <c r="V103" s="1133"/>
      <c r="W103" s="1133"/>
      <c r="X103" s="1133"/>
      <c r="Y103" s="1133"/>
      <c r="Z103" s="1133"/>
      <c r="AA103" s="1134" t="s">
        <v>1651</v>
      </c>
      <c r="AB103" s="1134"/>
      <c r="AC103" s="1134"/>
      <c r="AD103" s="1134"/>
      <c r="AE103" s="1134"/>
      <c r="AF103" s="1134"/>
    </row>
    <row r="104" spans="1:32" ht="25.95" customHeight="1" thickTop="1" thickBot="1" x14ac:dyDescent="0.3">
      <c r="A104" s="1132" t="s">
        <v>1652</v>
      </c>
      <c r="B104" s="1132"/>
      <c r="C104" s="1132"/>
      <c r="D104" s="1132"/>
      <c r="E104" s="1132"/>
      <c r="F104" s="1132"/>
      <c r="G104" s="1132"/>
      <c r="H104" s="1132"/>
      <c r="I104" s="1132"/>
      <c r="J104" s="1132"/>
      <c r="K104" s="1133" t="s">
        <v>1653</v>
      </c>
      <c r="L104" s="1133"/>
      <c r="M104" s="1133"/>
      <c r="N104" s="1133"/>
      <c r="O104" s="1133" t="s">
        <v>1654</v>
      </c>
      <c r="P104" s="1133"/>
      <c r="Q104" s="1133"/>
      <c r="R104" s="1133"/>
      <c r="S104" s="1133"/>
      <c r="T104" s="1133"/>
      <c r="U104" s="1133" t="s">
        <v>1655</v>
      </c>
      <c r="V104" s="1133"/>
      <c r="W104" s="1133"/>
      <c r="X104" s="1133"/>
      <c r="Y104" s="1133"/>
      <c r="Z104" s="1133"/>
      <c r="AA104" s="1134" t="s">
        <v>1656</v>
      </c>
      <c r="AB104" s="1134"/>
      <c r="AC104" s="1134"/>
      <c r="AD104" s="1134"/>
      <c r="AE104" s="1134"/>
      <c r="AF104" s="1134"/>
    </row>
    <row r="105" spans="1:32" ht="14.4" thickTop="1" thickBot="1" x14ac:dyDescent="0.3">
      <c r="A105" s="1132" t="s">
        <v>1657</v>
      </c>
      <c r="B105" s="1132"/>
      <c r="C105" s="1132"/>
      <c r="D105" s="1132"/>
      <c r="E105" s="1132"/>
      <c r="F105" s="1132"/>
      <c r="G105" s="1132"/>
      <c r="H105" s="1132"/>
      <c r="I105" s="1132"/>
      <c r="J105" s="1132"/>
      <c r="K105" s="1133" t="s">
        <v>1658</v>
      </c>
      <c r="L105" s="1133"/>
      <c r="M105" s="1133"/>
      <c r="N105" s="1133"/>
      <c r="O105" s="1133" t="s">
        <v>1659</v>
      </c>
      <c r="P105" s="1133"/>
      <c r="Q105" s="1133"/>
      <c r="R105" s="1133"/>
      <c r="S105" s="1133"/>
      <c r="T105" s="1133"/>
      <c r="U105" s="1133" t="s">
        <v>1660</v>
      </c>
      <c r="V105" s="1133"/>
      <c r="W105" s="1133"/>
      <c r="X105" s="1133"/>
      <c r="Y105" s="1133"/>
      <c r="Z105" s="1133"/>
      <c r="AA105" s="1134" t="s">
        <v>1661</v>
      </c>
      <c r="AB105" s="1134"/>
      <c r="AC105" s="1134"/>
      <c r="AD105" s="1134"/>
      <c r="AE105" s="1134"/>
      <c r="AF105" s="1134"/>
    </row>
    <row r="106" spans="1:32" ht="27" customHeight="1" thickTop="1" thickBot="1" x14ac:dyDescent="0.3">
      <c r="A106" s="1132" t="s">
        <v>1662</v>
      </c>
      <c r="B106" s="1132"/>
      <c r="C106" s="1132"/>
      <c r="D106" s="1132"/>
      <c r="E106" s="1132"/>
      <c r="F106" s="1132"/>
      <c r="G106" s="1132"/>
      <c r="H106" s="1132"/>
      <c r="I106" s="1132"/>
      <c r="J106" s="1132"/>
      <c r="K106" s="1133" t="s">
        <v>1663</v>
      </c>
      <c r="L106" s="1133"/>
      <c r="M106" s="1133"/>
      <c r="N106" s="1133"/>
      <c r="O106" s="1133" t="s">
        <v>1436</v>
      </c>
      <c r="P106" s="1133"/>
      <c r="Q106" s="1133"/>
      <c r="R106" s="1133"/>
      <c r="S106" s="1133"/>
      <c r="T106" s="1133"/>
      <c r="U106" s="1133" t="s">
        <v>1436</v>
      </c>
      <c r="V106" s="1133"/>
      <c r="W106" s="1133"/>
      <c r="X106" s="1133"/>
      <c r="Y106" s="1133"/>
      <c r="Z106" s="1133"/>
      <c r="AA106" s="1134" t="s">
        <v>1436</v>
      </c>
      <c r="AB106" s="1134"/>
      <c r="AC106" s="1134"/>
      <c r="AD106" s="1134"/>
      <c r="AE106" s="1134"/>
      <c r="AF106" s="1134"/>
    </row>
    <row r="107" spans="1:32" ht="27" customHeight="1" thickTop="1" thickBot="1" x14ac:dyDescent="0.3">
      <c r="A107" s="1132" t="s">
        <v>1664</v>
      </c>
      <c r="B107" s="1132"/>
      <c r="C107" s="1132"/>
      <c r="D107" s="1132"/>
      <c r="E107" s="1132"/>
      <c r="F107" s="1132"/>
      <c r="G107" s="1132"/>
      <c r="H107" s="1132"/>
      <c r="I107" s="1132"/>
      <c r="J107" s="1132"/>
      <c r="K107" s="1133" t="s">
        <v>1665</v>
      </c>
      <c r="L107" s="1133"/>
      <c r="M107" s="1133"/>
      <c r="N107" s="1133"/>
      <c r="O107" s="1133" t="s">
        <v>1666</v>
      </c>
      <c r="P107" s="1133"/>
      <c r="Q107" s="1133"/>
      <c r="R107" s="1133"/>
      <c r="S107" s="1133"/>
      <c r="T107" s="1133"/>
      <c r="U107" s="1133" t="s">
        <v>1667</v>
      </c>
      <c r="V107" s="1133"/>
      <c r="W107" s="1133"/>
      <c r="X107" s="1133"/>
      <c r="Y107" s="1133"/>
      <c r="Z107" s="1133"/>
      <c r="AA107" s="1134" t="s">
        <v>1668</v>
      </c>
      <c r="AB107" s="1134"/>
      <c r="AC107" s="1134"/>
      <c r="AD107" s="1134"/>
      <c r="AE107" s="1134"/>
      <c r="AF107" s="1134"/>
    </row>
    <row r="108" spans="1:32" ht="14.4" thickTop="1" thickBot="1" x14ac:dyDescent="0.3">
      <c r="A108" s="1132" t="s">
        <v>1669</v>
      </c>
      <c r="B108" s="1132"/>
      <c r="C108" s="1132"/>
      <c r="D108" s="1132"/>
      <c r="E108" s="1132"/>
      <c r="F108" s="1132"/>
      <c r="G108" s="1132"/>
      <c r="H108" s="1132"/>
      <c r="I108" s="1132"/>
      <c r="J108" s="1132"/>
      <c r="K108" s="1133" t="s">
        <v>1670</v>
      </c>
      <c r="L108" s="1133"/>
      <c r="M108" s="1133"/>
      <c r="N108" s="1133"/>
      <c r="O108" s="1133" t="s">
        <v>1610</v>
      </c>
      <c r="P108" s="1133"/>
      <c r="Q108" s="1133"/>
      <c r="R108" s="1133"/>
      <c r="S108" s="1133"/>
      <c r="T108" s="1133"/>
      <c r="U108" s="1133" t="s">
        <v>1611</v>
      </c>
      <c r="V108" s="1133"/>
      <c r="W108" s="1133"/>
      <c r="X108" s="1133"/>
      <c r="Y108" s="1133"/>
      <c r="Z108" s="1133"/>
      <c r="AA108" s="1134" t="s">
        <v>1612</v>
      </c>
      <c r="AB108" s="1134"/>
      <c r="AC108" s="1134"/>
      <c r="AD108" s="1134"/>
      <c r="AE108" s="1134"/>
      <c r="AF108" s="1134"/>
    </row>
    <row r="109" spans="1:32" ht="14.4" thickTop="1" thickBot="1" x14ac:dyDescent="0.3">
      <c r="A109" s="1132" t="s">
        <v>475</v>
      </c>
      <c r="B109" s="1132"/>
      <c r="C109" s="1132"/>
      <c r="D109" s="1132"/>
      <c r="E109" s="1132"/>
      <c r="F109" s="1132"/>
      <c r="G109" s="1132"/>
      <c r="H109" s="1132"/>
      <c r="I109" s="1132"/>
      <c r="J109" s="1132"/>
      <c r="K109" s="1133" t="s">
        <v>475</v>
      </c>
      <c r="L109" s="1133"/>
      <c r="M109" s="1133"/>
      <c r="N109" s="1133"/>
      <c r="O109" s="1133" t="s">
        <v>475</v>
      </c>
      <c r="P109" s="1133"/>
      <c r="Q109" s="1133"/>
      <c r="R109" s="1133"/>
      <c r="S109" s="1133"/>
      <c r="T109" s="1133"/>
      <c r="U109" s="1133" t="s">
        <v>475</v>
      </c>
      <c r="V109" s="1133"/>
      <c r="W109" s="1133"/>
      <c r="X109" s="1133"/>
      <c r="Y109" s="1133"/>
      <c r="Z109" s="1133"/>
      <c r="AA109" s="1134" t="s">
        <v>475</v>
      </c>
      <c r="AB109" s="1134"/>
      <c r="AC109" s="1134"/>
      <c r="AD109" s="1134"/>
      <c r="AE109" s="1134"/>
      <c r="AF109" s="1134"/>
    </row>
    <row r="110" spans="1:32" ht="14.4" thickTop="1" thickBot="1" x14ac:dyDescent="0.3">
      <c r="A110" s="1132" t="s">
        <v>1671</v>
      </c>
      <c r="B110" s="1132"/>
      <c r="C110" s="1132"/>
      <c r="D110" s="1132"/>
      <c r="E110" s="1132"/>
      <c r="F110" s="1132"/>
      <c r="G110" s="1132"/>
      <c r="H110" s="1132"/>
      <c r="I110" s="1132"/>
      <c r="J110" s="1132"/>
      <c r="K110" s="1133" t="s">
        <v>1672</v>
      </c>
      <c r="L110" s="1133"/>
      <c r="M110" s="1133"/>
      <c r="N110" s="1133"/>
      <c r="O110" s="1133" t="s">
        <v>475</v>
      </c>
      <c r="P110" s="1133"/>
      <c r="Q110" s="1133"/>
      <c r="R110" s="1133"/>
      <c r="S110" s="1133"/>
      <c r="T110" s="1133"/>
      <c r="U110" s="1133" t="s">
        <v>475</v>
      </c>
      <c r="V110" s="1133"/>
      <c r="W110" s="1133"/>
      <c r="X110" s="1133"/>
      <c r="Y110" s="1133"/>
      <c r="Z110" s="1133"/>
      <c r="AA110" s="1134" t="s">
        <v>475</v>
      </c>
      <c r="AB110" s="1134"/>
      <c r="AC110" s="1134"/>
      <c r="AD110" s="1134"/>
      <c r="AE110" s="1134"/>
      <c r="AF110" s="1134"/>
    </row>
    <row r="111" spans="1:32" ht="14.4" thickTop="1" thickBot="1" x14ac:dyDescent="0.3">
      <c r="A111" s="1132" t="s">
        <v>1673</v>
      </c>
      <c r="B111" s="1132"/>
      <c r="C111" s="1132"/>
      <c r="D111" s="1132"/>
      <c r="E111" s="1132"/>
      <c r="F111" s="1132"/>
      <c r="G111" s="1132"/>
      <c r="H111" s="1132"/>
      <c r="I111" s="1132"/>
      <c r="J111" s="1132"/>
      <c r="K111" s="1133" t="s">
        <v>1674</v>
      </c>
      <c r="L111" s="1133"/>
      <c r="M111" s="1133"/>
      <c r="N111" s="1133"/>
      <c r="O111" s="1133" t="s">
        <v>1436</v>
      </c>
      <c r="P111" s="1133"/>
      <c r="Q111" s="1133"/>
      <c r="R111" s="1133"/>
      <c r="S111" s="1133"/>
      <c r="T111" s="1133"/>
      <c r="U111" s="1133" t="s">
        <v>1436</v>
      </c>
      <c r="V111" s="1133"/>
      <c r="W111" s="1133"/>
      <c r="X111" s="1133"/>
      <c r="Y111" s="1133"/>
      <c r="Z111" s="1133"/>
      <c r="AA111" s="1134" t="s">
        <v>1436</v>
      </c>
      <c r="AB111" s="1134"/>
      <c r="AC111" s="1134"/>
      <c r="AD111" s="1134"/>
      <c r="AE111" s="1134"/>
      <c r="AF111" s="1134"/>
    </row>
    <row r="112" spans="1:32" ht="25.2" customHeight="1" thickTop="1" thickBot="1" x14ac:dyDescent="0.3">
      <c r="A112" s="1132" t="s">
        <v>1675</v>
      </c>
      <c r="B112" s="1132"/>
      <c r="C112" s="1132"/>
      <c r="D112" s="1132"/>
      <c r="E112" s="1132"/>
      <c r="F112" s="1132"/>
      <c r="G112" s="1132"/>
      <c r="H112" s="1132"/>
      <c r="I112" s="1132"/>
      <c r="J112" s="1132"/>
      <c r="K112" s="1133" t="s">
        <v>1676</v>
      </c>
      <c r="L112" s="1133"/>
      <c r="M112" s="1133"/>
      <c r="N112" s="1133"/>
      <c r="O112" s="1133" t="s">
        <v>1436</v>
      </c>
      <c r="P112" s="1133"/>
      <c r="Q112" s="1133"/>
      <c r="R112" s="1133"/>
      <c r="S112" s="1133"/>
      <c r="T112" s="1133"/>
      <c r="U112" s="1133" t="s">
        <v>1436</v>
      </c>
      <c r="V112" s="1133"/>
      <c r="W112" s="1133"/>
      <c r="X112" s="1133"/>
      <c r="Y112" s="1133"/>
      <c r="Z112" s="1133"/>
      <c r="AA112" s="1134" t="s">
        <v>1436</v>
      </c>
      <c r="AB112" s="1134"/>
      <c r="AC112" s="1134"/>
      <c r="AD112" s="1134"/>
      <c r="AE112" s="1134"/>
      <c r="AF112" s="1134"/>
    </row>
    <row r="113" spans="1:32" ht="14.4" thickTop="1" thickBot="1" x14ac:dyDescent="0.3">
      <c r="A113" s="1132" t="s">
        <v>1677</v>
      </c>
      <c r="B113" s="1132"/>
      <c r="C113" s="1132"/>
      <c r="D113" s="1132"/>
      <c r="E113" s="1132"/>
      <c r="F113" s="1132"/>
      <c r="G113" s="1132"/>
      <c r="H113" s="1132"/>
      <c r="I113" s="1132"/>
      <c r="J113" s="1132"/>
      <c r="K113" s="1133" t="s">
        <v>1678</v>
      </c>
      <c r="L113" s="1133"/>
      <c r="M113" s="1133"/>
      <c r="N113" s="1133"/>
      <c r="O113" s="1133" t="s">
        <v>1436</v>
      </c>
      <c r="P113" s="1133"/>
      <c r="Q113" s="1133"/>
      <c r="R113" s="1133"/>
      <c r="S113" s="1133"/>
      <c r="T113" s="1133"/>
      <c r="U113" s="1133" t="s">
        <v>1436</v>
      </c>
      <c r="V113" s="1133"/>
      <c r="W113" s="1133"/>
      <c r="X113" s="1133"/>
      <c r="Y113" s="1133"/>
      <c r="Z113" s="1133"/>
      <c r="AA113" s="1134" t="s">
        <v>1436</v>
      </c>
      <c r="AB113" s="1134"/>
      <c r="AC113" s="1134"/>
      <c r="AD113" s="1134"/>
      <c r="AE113" s="1134"/>
      <c r="AF113" s="1134"/>
    </row>
    <row r="114" spans="1:32" ht="42.6" customHeight="1" thickTop="1" thickBot="1" x14ac:dyDescent="0.3">
      <c r="A114" s="1132" t="s">
        <v>1679</v>
      </c>
      <c r="B114" s="1132"/>
      <c r="C114" s="1132"/>
      <c r="D114" s="1132"/>
      <c r="E114" s="1132"/>
      <c r="F114" s="1132"/>
      <c r="G114" s="1132"/>
      <c r="H114" s="1132"/>
      <c r="I114" s="1132"/>
      <c r="J114" s="1132"/>
      <c r="K114" s="1133" t="s">
        <v>1680</v>
      </c>
      <c r="L114" s="1133"/>
      <c r="M114" s="1133"/>
      <c r="N114" s="1133"/>
      <c r="O114" s="1133" t="s">
        <v>1681</v>
      </c>
      <c r="P114" s="1133"/>
      <c r="Q114" s="1133"/>
      <c r="R114" s="1133"/>
      <c r="S114" s="1133"/>
      <c r="T114" s="1133"/>
      <c r="U114" s="1133" t="s">
        <v>1681</v>
      </c>
      <c r="V114" s="1133"/>
      <c r="W114" s="1133"/>
      <c r="X114" s="1133"/>
      <c r="Y114" s="1133"/>
      <c r="Z114" s="1133"/>
      <c r="AA114" s="1134" t="s">
        <v>720</v>
      </c>
      <c r="AB114" s="1134"/>
      <c r="AC114" s="1134"/>
      <c r="AD114" s="1134"/>
      <c r="AE114" s="1134"/>
      <c r="AF114" s="1134"/>
    </row>
    <row r="115" spans="1:32" ht="47.4" customHeight="1" thickTop="1" thickBot="1" x14ac:dyDescent="0.3">
      <c r="A115" s="1132" t="s">
        <v>1682</v>
      </c>
      <c r="B115" s="1132"/>
      <c r="C115" s="1132"/>
      <c r="D115" s="1132"/>
      <c r="E115" s="1132"/>
      <c r="F115" s="1132"/>
      <c r="G115" s="1132"/>
      <c r="H115" s="1132"/>
      <c r="I115" s="1132"/>
      <c r="J115" s="1132"/>
      <c r="K115" s="1133" t="s">
        <v>1683</v>
      </c>
      <c r="L115" s="1133"/>
      <c r="M115" s="1133"/>
      <c r="N115" s="1133"/>
      <c r="O115" s="1133" t="s">
        <v>1436</v>
      </c>
      <c r="P115" s="1133"/>
      <c r="Q115" s="1133"/>
      <c r="R115" s="1133"/>
      <c r="S115" s="1133"/>
      <c r="T115" s="1133"/>
      <c r="U115" s="1133" t="s">
        <v>1436</v>
      </c>
      <c r="V115" s="1133"/>
      <c r="W115" s="1133"/>
      <c r="X115" s="1133"/>
      <c r="Y115" s="1133"/>
      <c r="Z115" s="1133"/>
      <c r="AA115" s="1134" t="s">
        <v>1436</v>
      </c>
      <c r="AB115" s="1134"/>
      <c r="AC115" s="1134"/>
      <c r="AD115" s="1134"/>
      <c r="AE115" s="1134"/>
      <c r="AF115" s="1134"/>
    </row>
    <row r="116" spans="1:32" ht="14.4" thickTop="1" thickBot="1" x14ac:dyDescent="0.3">
      <c r="A116" s="1132" t="s">
        <v>1684</v>
      </c>
      <c r="B116" s="1132"/>
      <c r="C116" s="1132"/>
      <c r="D116" s="1132"/>
      <c r="E116" s="1132"/>
      <c r="F116" s="1132"/>
      <c r="G116" s="1132"/>
      <c r="H116" s="1132"/>
      <c r="I116" s="1132"/>
      <c r="J116" s="1132"/>
      <c r="K116" s="1133" t="s">
        <v>1685</v>
      </c>
      <c r="L116" s="1133"/>
      <c r="M116" s="1133"/>
      <c r="N116" s="1133"/>
      <c r="O116" s="1133" t="s">
        <v>1436</v>
      </c>
      <c r="P116" s="1133"/>
      <c r="Q116" s="1133"/>
      <c r="R116" s="1133"/>
      <c r="S116" s="1133"/>
      <c r="T116" s="1133"/>
      <c r="U116" s="1133" t="s">
        <v>1436</v>
      </c>
      <c r="V116" s="1133"/>
      <c r="W116" s="1133"/>
      <c r="X116" s="1133"/>
      <c r="Y116" s="1133"/>
      <c r="Z116" s="1133"/>
      <c r="AA116" s="1134" t="s">
        <v>1436</v>
      </c>
      <c r="AB116" s="1134"/>
      <c r="AC116" s="1134"/>
      <c r="AD116" s="1134"/>
      <c r="AE116" s="1134"/>
      <c r="AF116" s="1134"/>
    </row>
    <row r="117" spans="1:32" ht="14.4" thickTop="1" thickBot="1" x14ac:dyDescent="0.3">
      <c r="A117" s="1132" t="s">
        <v>1686</v>
      </c>
      <c r="B117" s="1132"/>
      <c r="C117" s="1132"/>
      <c r="D117" s="1132"/>
      <c r="E117" s="1132"/>
      <c r="F117" s="1132"/>
      <c r="G117" s="1132"/>
      <c r="H117" s="1132"/>
      <c r="I117" s="1132"/>
      <c r="J117" s="1132"/>
      <c r="K117" s="1133" t="s">
        <v>1687</v>
      </c>
      <c r="L117" s="1133"/>
      <c r="M117" s="1133"/>
      <c r="N117" s="1133"/>
      <c r="O117" s="1133" t="s">
        <v>1436</v>
      </c>
      <c r="P117" s="1133"/>
      <c r="Q117" s="1133"/>
      <c r="R117" s="1133"/>
      <c r="S117" s="1133"/>
      <c r="T117" s="1133"/>
      <c r="U117" s="1133" t="s">
        <v>1688</v>
      </c>
      <c r="V117" s="1133"/>
      <c r="W117" s="1133"/>
      <c r="X117" s="1133"/>
      <c r="Y117" s="1133"/>
      <c r="Z117" s="1133"/>
      <c r="AA117" s="1134" t="s">
        <v>1436</v>
      </c>
      <c r="AB117" s="1134"/>
      <c r="AC117" s="1134"/>
      <c r="AD117" s="1134"/>
      <c r="AE117" s="1134"/>
      <c r="AF117" s="1134"/>
    </row>
    <row r="118" spans="1:32" ht="14.4" thickTop="1" thickBot="1" x14ac:dyDescent="0.3">
      <c r="A118" s="1132" t="s">
        <v>1689</v>
      </c>
      <c r="B118" s="1132"/>
      <c r="C118" s="1132"/>
      <c r="D118" s="1132"/>
      <c r="E118" s="1132"/>
      <c r="F118" s="1132"/>
      <c r="G118" s="1132"/>
      <c r="H118" s="1132"/>
      <c r="I118" s="1132"/>
      <c r="J118" s="1132"/>
      <c r="K118" s="1133" t="s">
        <v>1690</v>
      </c>
      <c r="L118" s="1133"/>
      <c r="M118" s="1133"/>
      <c r="N118" s="1133"/>
      <c r="O118" s="1133" t="s">
        <v>1436</v>
      </c>
      <c r="P118" s="1133"/>
      <c r="Q118" s="1133"/>
      <c r="R118" s="1133"/>
      <c r="S118" s="1133"/>
      <c r="T118" s="1133"/>
      <c r="U118" s="1133" t="s">
        <v>1436</v>
      </c>
      <c r="V118" s="1133"/>
      <c r="W118" s="1133"/>
      <c r="X118" s="1133"/>
      <c r="Y118" s="1133"/>
      <c r="Z118" s="1133"/>
      <c r="AA118" s="1134" t="s">
        <v>1436</v>
      </c>
      <c r="AB118" s="1134"/>
      <c r="AC118" s="1134"/>
      <c r="AD118" s="1134"/>
      <c r="AE118" s="1134"/>
      <c r="AF118" s="1134"/>
    </row>
    <row r="119" spans="1:32" ht="13.8" thickTop="1" x14ac:dyDescent="0.25"/>
  </sheetData>
  <mergeCells count="573">
    <mergeCell ref="A1:AF1"/>
    <mergeCell ref="A3:AF3"/>
    <mergeCell ref="A4:AF4"/>
    <mergeCell ref="A6:J6"/>
    <mergeCell ref="K6:N6"/>
    <mergeCell ref="O6:T6"/>
    <mergeCell ref="U6:Z6"/>
    <mergeCell ref="AA6:AF6"/>
    <mergeCell ref="A5:J5"/>
    <mergeCell ref="K5:N5"/>
    <mergeCell ref="O5:T5"/>
    <mergeCell ref="U5:Z5"/>
    <mergeCell ref="AA5:AF5"/>
    <mergeCell ref="A8:J8"/>
    <mergeCell ref="K8:N8"/>
    <mergeCell ref="O8:T8"/>
    <mergeCell ref="U8:Z8"/>
    <mergeCell ref="AA8:AF8"/>
    <mergeCell ref="A7:J7"/>
    <mergeCell ref="K7:N7"/>
    <mergeCell ref="O7:T7"/>
    <mergeCell ref="U7:Z7"/>
    <mergeCell ref="AA7:AF7"/>
    <mergeCell ref="A10:J10"/>
    <mergeCell ref="K10:N10"/>
    <mergeCell ref="O10:T10"/>
    <mergeCell ref="U10:Z10"/>
    <mergeCell ref="AA10:AF10"/>
    <mergeCell ref="A9:J9"/>
    <mergeCell ref="K9:N9"/>
    <mergeCell ref="O9:T9"/>
    <mergeCell ref="U9:Z9"/>
    <mergeCell ref="AA9:AF9"/>
    <mergeCell ref="A12:J12"/>
    <mergeCell ref="K12:N12"/>
    <mergeCell ref="O12:T12"/>
    <mergeCell ref="U12:Z12"/>
    <mergeCell ref="AA12:AF12"/>
    <mergeCell ref="A11:J11"/>
    <mergeCell ref="K11:N11"/>
    <mergeCell ref="O11:T11"/>
    <mergeCell ref="U11:Z11"/>
    <mergeCell ref="AA11:AF11"/>
    <mergeCell ref="A14:J14"/>
    <mergeCell ref="K14:N14"/>
    <mergeCell ref="O14:T14"/>
    <mergeCell ref="U14:Z14"/>
    <mergeCell ref="AA14:AF14"/>
    <mergeCell ref="A13:J13"/>
    <mergeCell ref="K13:N13"/>
    <mergeCell ref="O13:T13"/>
    <mergeCell ref="U13:Z13"/>
    <mergeCell ref="AA13:AF13"/>
    <mergeCell ref="A16:J16"/>
    <mergeCell ref="K16:N16"/>
    <mergeCell ref="O16:T16"/>
    <mergeCell ref="U16:Z16"/>
    <mergeCell ref="AA16:AF16"/>
    <mergeCell ref="A15:J15"/>
    <mergeCell ref="K15:N15"/>
    <mergeCell ref="O15:T15"/>
    <mergeCell ref="U15:Z15"/>
    <mergeCell ref="AA15:AF15"/>
    <mergeCell ref="A18:J18"/>
    <mergeCell ref="K18:N18"/>
    <mergeCell ref="O18:T18"/>
    <mergeCell ref="U18:Z18"/>
    <mergeCell ref="AA18:AF18"/>
    <mergeCell ref="A17:J17"/>
    <mergeCell ref="K17:N17"/>
    <mergeCell ref="O17:T17"/>
    <mergeCell ref="U17:Z17"/>
    <mergeCell ref="AA17:AF17"/>
    <mergeCell ref="A20:J20"/>
    <mergeCell ref="K20:N20"/>
    <mergeCell ref="O20:T20"/>
    <mergeCell ref="U20:Z20"/>
    <mergeCell ref="AA20:AF20"/>
    <mergeCell ref="A19:J19"/>
    <mergeCell ref="K19:N19"/>
    <mergeCell ref="O19:T19"/>
    <mergeCell ref="U19:Z19"/>
    <mergeCell ref="AA19:AF19"/>
    <mergeCell ref="A22:J22"/>
    <mergeCell ref="K22:N22"/>
    <mergeCell ref="O22:T22"/>
    <mergeCell ref="U22:Z22"/>
    <mergeCell ref="AA22:AF22"/>
    <mergeCell ref="A21:J21"/>
    <mergeCell ref="K21:N21"/>
    <mergeCell ref="O21:T21"/>
    <mergeCell ref="U21:Z21"/>
    <mergeCell ref="AA21:AF21"/>
    <mergeCell ref="A24:J24"/>
    <mergeCell ref="K24:N24"/>
    <mergeCell ref="O24:T24"/>
    <mergeCell ref="U24:Z24"/>
    <mergeCell ref="AA24:AF24"/>
    <mergeCell ref="A23:J23"/>
    <mergeCell ref="K23:N23"/>
    <mergeCell ref="O23:T23"/>
    <mergeCell ref="U23:Z23"/>
    <mergeCell ref="AA23:AF23"/>
    <mergeCell ref="A26:J26"/>
    <mergeCell ref="K26:N26"/>
    <mergeCell ref="O26:T26"/>
    <mergeCell ref="U26:Z26"/>
    <mergeCell ref="AA26:AF26"/>
    <mergeCell ref="A25:J25"/>
    <mergeCell ref="K25:N25"/>
    <mergeCell ref="O25:T25"/>
    <mergeCell ref="U25:Z25"/>
    <mergeCell ref="AA25:AF25"/>
    <mergeCell ref="A28:J28"/>
    <mergeCell ref="K28:N28"/>
    <mergeCell ref="O28:T28"/>
    <mergeCell ref="U28:Z28"/>
    <mergeCell ref="AA28:AF28"/>
    <mergeCell ref="A27:J27"/>
    <mergeCell ref="K27:N27"/>
    <mergeCell ref="O27:T27"/>
    <mergeCell ref="U27:Z27"/>
    <mergeCell ref="AA27:AF27"/>
    <mergeCell ref="A30:J30"/>
    <mergeCell ref="K30:N30"/>
    <mergeCell ref="O30:T30"/>
    <mergeCell ref="U30:Z30"/>
    <mergeCell ref="AA30:AF30"/>
    <mergeCell ref="A29:J29"/>
    <mergeCell ref="K29:N29"/>
    <mergeCell ref="O29:T29"/>
    <mergeCell ref="U29:Z29"/>
    <mergeCell ref="AA29:AF29"/>
    <mergeCell ref="A32:J32"/>
    <mergeCell ref="K32:N32"/>
    <mergeCell ref="O32:T32"/>
    <mergeCell ref="U32:Z32"/>
    <mergeCell ref="AA32:AF32"/>
    <mergeCell ref="A31:J31"/>
    <mergeCell ref="K31:N31"/>
    <mergeCell ref="O31:T31"/>
    <mergeCell ref="U31:Z31"/>
    <mergeCell ref="AA31:AF31"/>
    <mergeCell ref="A34:J34"/>
    <mergeCell ref="K34:N34"/>
    <mergeCell ref="O34:T34"/>
    <mergeCell ref="U34:Z34"/>
    <mergeCell ref="AA34:AF34"/>
    <mergeCell ref="A33:J33"/>
    <mergeCell ref="K33:N33"/>
    <mergeCell ref="O33:T33"/>
    <mergeCell ref="U33:Z33"/>
    <mergeCell ref="AA33:AF33"/>
    <mergeCell ref="A36:J36"/>
    <mergeCell ref="K36:N36"/>
    <mergeCell ref="O36:T36"/>
    <mergeCell ref="U36:Z36"/>
    <mergeCell ref="AA36:AF36"/>
    <mergeCell ref="A35:J35"/>
    <mergeCell ref="K35:N35"/>
    <mergeCell ref="O35:T35"/>
    <mergeCell ref="U35:Z35"/>
    <mergeCell ref="AA35:AF35"/>
    <mergeCell ref="A38:J38"/>
    <mergeCell ref="K38:N38"/>
    <mergeCell ref="O38:T38"/>
    <mergeCell ref="U38:Z38"/>
    <mergeCell ref="AA38:AF38"/>
    <mergeCell ref="A37:J37"/>
    <mergeCell ref="K37:N37"/>
    <mergeCell ref="O37:T37"/>
    <mergeCell ref="U37:Z37"/>
    <mergeCell ref="AA37:AF37"/>
    <mergeCell ref="A40:J40"/>
    <mergeCell ref="K40:N40"/>
    <mergeCell ref="O40:T40"/>
    <mergeCell ref="U40:Z40"/>
    <mergeCell ref="AA40:AF40"/>
    <mergeCell ref="A39:J39"/>
    <mergeCell ref="K39:N39"/>
    <mergeCell ref="O39:T39"/>
    <mergeCell ref="U39:Z39"/>
    <mergeCell ref="AA39:AF39"/>
    <mergeCell ref="A42:J42"/>
    <mergeCell ref="K42:N42"/>
    <mergeCell ref="O42:T42"/>
    <mergeCell ref="U42:Z42"/>
    <mergeCell ref="AA42:AF42"/>
    <mergeCell ref="A41:J41"/>
    <mergeCell ref="K41:N41"/>
    <mergeCell ref="O41:T41"/>
    <mergeCell ref="U41:Z41"/>
    <mergeCell ref="AA41:AF41"/>
    <mergeCell ref="A44:J44"/>
    <mergeCell ref="K44:N44"/>
    <mergeCell ref="O44:T44"/>
    <mergeCell ref="U44:Z44"/>
    <mergeCell ref="AA44:AF44"/>
    <mergeCell ref="A43:J43"/>
    <mergeCell ref="K43:N43"/>
    <mergeCell ref="O43:T43"/>
    <mergeCell ref="U43:Z43"/>
    <mergeCell ref="AA43:AF43"/>
    <mergeCell ref="A46:J46"/>
    <mergeCell ref="K46:N46"/>
    <mergeCell ref="O46:T46"/>
    <mergeCell ref="U46:Z46"/>
    <mergeCell ref="AA46:AF46"/>
    <mergeCell ref="A45:J45"/>
    <mergeCell ref="K45:N45"/>
    <mergeCell ref="O45:T45"/>
    <mergeCell ref="U45:Z45"/>
    <mergeCell ref="AA45:AF45"/>
    <mergeCell ref="A48:J48"/>
    <mergeCell ref="K48:N48"/>
    <mergeCell ref="O48:T48"/>
    <mergeCell ref="U48:Z48"/>
    <mergeCell ref="AA48:AF48"/>
    <mergeCell ref="A47:J47"/>
    <mergeCell ref="K47:N47"/>
    <mergeCell ref="O47:T47"/>
    <mergeCell ref="U47:Z47"/>
    <mergeCell ref="AA47:AF47"/>
    <mergeCell ref="A50:J50"/>
    <mergeCell ref="K50:N50"/>
    <mergeCell ref="O50:T50"/>
    <mergeCell ref="U50:Z50"/>
    <mergeCell ref="AA50:AF50"/>
    <mergeCell ref="A49:J49"/>
    <mergeCell ref="K49:N49"/>
    <mergeCell ref="O49:T49"/>
    <mergeCell ref="U49:Z49"/>
    <mergeCell ref="AA49:AF49"/>
    <mergeCell ref="A52:J52"/>
    <mergeCell ref="K52:N52"/>
    <mergeCell ref="O52:T52"/>
    <mergeCell ref="U52:Z52"/>
    <mergeCell ref="AA52:AF52"/>
    <mergeCell ref="A51:J51"/>
    <mergeCell ref="K51:N51"/>
    <mergeCell ref="O51:T51"/>
    <mergeCell ref="U51:Z51"/>
    <mergeCell ref="AA51:AF51"/>
    <mergeCell ref="A54:J54"/>
    <mergeCell ref="K54:N54"/>
    <mergeCell ref="O54:T54"/>
    <mergeCell ref="U54:Z54"/>
    <mergeCell ref="AA54:AF54"/>
    <mergeCell ref="A53:J53"/>
    <mergeCell ref="K53:N53"/>
    <mergeCell ref="O53:T53"/>
    <mergeCell ref="U53:Z53"/>
    <mergeCell ref="AA53:AF53"/>
    <mergeCell ref="A56:J56"/>
    <mergeCell ref="K56:N56"/>
    <mergeCell ref="O56:T56"/>
    <mergeCell ref="U56:Z56"/>
    <mergeCell ref="AA56:AF56"/>
    <mergeCell ref="A55:J55"/>
    <mergeCell ref="K55:N55"/>
    <mergeCell ref="O55:T55"/>
    <mergeCell ref="U55:Z55"/>
    <mergeCell ref="AA55:AF55"/>
    <mergeCell ref="A58:J58"/>
    <mergeCell ref="K58:N58"/>
    <mergeCell ref="O58:T58"/>
    <mergeCell ref="U58:Z58"/>
    <mergeCell ref="AA58:AF58"/>
    <mergeCell ref="A57:J57"/>
    <mergeCell ref="K57:N57"/>
    <mergeCell ref="O57:T57"/>
    <mergeCell ref="U57:Z57"/>
    <mergeCell ref="AA57:AF57"/>
    <mergeCell ref="A60:J60"/>
    <mergeCell ref="K60:N60"/>
    <mergeCell ref="O60:T60"/>
    <mergeCell ref="U60:Z60"/>
    <mergeCell ref="AA60:AF60"/>
    <mergeCell ref="A59:J59"/>
    <mergeCell ref="K59:N59"/>
    <mergeCell ref="O59:T59"/>
    <mergeCell ref="U59:Z59"/>
    <mergeCell ref="AA59:AF59"/>
    <mergeCell ref="A62:J62"/>
    <mergeCell ref="K62:N62"/>
    <mergeCell ref="O62:T62"/>
    <mergeCell ref="U62:Z62"/>
    <mergeCell ref="AA62:AF62"/>
    <mergeCell ref="A61:J61"/>
    <mergeCell ref="K61:N61"/>
    <mergeCell ref="O61:T61"/>
    <mergeCell ref="U61:Z61"/>
    <mergeCell ref="AA61:AF61"/>
    <mergeCell ref="A64:J64"/>
    <mergeCell ref="K64:N64"/>
    <mergeCell ref="O64:T64"/>
    <mergeCell ref="U64:Z64"/>
    <mergeCell ref="AA64:AF64"/>
    <mergeCell ref="A63:J63"/>
    <mergeCell ref="K63:N63"/>
    <mergeCell ref="O63:T63"/>
    <mergeCell ref="U63:Z63"/>
    <mergeCell ref="AA63:AF63"/>
    <mergeCell ref="A66:J66"/>
    <mergeCell ref="K66:N66"/>
    <mergeCell ref="O66:T66"/>
    <mergeCell ref="U66:Z66"/>
    <mergeCell ref="AA66:AF66"/>
    <mergeCell ref="A65:J65"/>
    <mergeCell ref="K65:N65"/>
    <mergeCell ref="O65:T65"/>
    <mergeCell ref="U65:Z65"/>
    <mergeCell ref="AA65:AF65"/>
    <mergeCell ref="A68:J68"/>
    <mergeCell ref="K68:N68"/>
    <mergeCell ref="O68:T68"/>
    <mergeCell ref="U68:Z68"/>
    <mergeCell ref="AA68:AF68"/>
    <mergeCell ref="A67:J67"/>
    <mergeCell ref="K67:N67"/>
    <mergeCell ref="O67:T67"/>
    <mergeCell ref="U67:Z67"/>
    <mergeCell ref="AA67:AF67"/>
    <mergeCell ref="A70:J70"/>
    <mergeCell ref="K70:N70"/>
    <mergeCell ref="O70:T70"/>
    <mergeCell ref="U70:Z70"/>
    <mergeCell ref="AA70:AF70"/>
    <mergeCell ref="A69:J69"/>
    <mergeCell ref="K69:N69"/>
    <mergeCell ref="O69:T69"/>
    <mergeCell ref="U69:Z69"/>
    <mergeCell ref="AA69:AF69"/>
    <mergeCell ref="A72:J72"/>
    <mergeCell ref="K72:N72"/>
    <mergeCell ref="O72:T72"/>
    <mergeCell ref="U72:Z72"/>
    <mergeCell ref="AA72:AF72"/>
    <mergeCell ref="A71:J71"/>
    <mergeCell ref="K71:N71"/>
    <mergeCell ref="O71:T71"/>
    <mergeCell ref="U71:Z71"/>
    <mergeCell ref="AA71:AF71"/>
    <mergeCell ref="A74:J74"/>
    <mergeCell ref="K74:N74"/>
    <mergeCell ref="O74:T74"/>
    <mergeCell ref="U74:Z74"/>
    <mergeCell ref="AA74:AF74"/>
    <mergeCell ref="A73:J73"/>
    <mergeCell ref="K73:N73"/>
    <mergeCell ref="O73:T73"/>
    <mergeCell ref="U73:Z73"/>
    <mergeCell ref="AA73:AF73"/>
    <mergeCell ref="A76:J76"/>
    <mergeCell ref="K76:N76"/>
    <mergeCell ref="O76:T76"/>
    <mergeCell ref="U76:Z76"/>
    <mergeCell ref="AA76:AF76"/>
    <mergeCell ref="A75:J75"/>
    <mergeCell ref="K75:N75"/>
    <mergeCell ref="O75:T75"/>
    <mergeCell ref="U75:Z75"/>
    <mergeCell ref="AA75:AF75"/>
    <mergeCell ref="A78:J78"/>
    <mergeCell ref="K78:N78"/>
    <mergeCell ref="O78:T78"/>
    <mergeCell ref="U78:Z78"/>
    <mergeCell ref="AA78:AF78"/>
    <mergeCell ref="A77:J77"/>
    <mergeCell ref="K77:N77"/>
    <mergeCell ref="O77:T77"/>
    <mergeCell ref="U77:Z77"/>
    <mergeCell ref="AA77:AF77"/>
    <mergeCell ref="A80:J80"/>
    <mergeCell ref="K80:N80"/>
    <mergeCell ref="O80:T80"/>
    <mergeCell ref="U80:Z80"/>
    <mergeCell ref="AA80:AF80"/>
    <mergeCell ref="A79:J79"/>
    <mergeCell ref="K79:N79"/>
    <mergeCell ref="O79:T79"/>
    <mergeCell ref="U79:Z79"/>
    <mergeCell ref="AA79:AF79"/>
    <mergeCell ref="A82:J82"/>
    <mergeCell ref="K82:N82"/>
    <mergeCell ref="O82:T82"/>
    <mergeCell ref="U82:Z82"/>
    <mergeCell ref="AA82:AF82"/>
    <mergeCell ref="A81:J81"/>
    <mergeCell ref="K81:N81"/>
    <mergeCell ref="O81:T81"/>
    <mergeCell ref="U81:Z81"/>
    <mergeCell ref="AA81:AF81"/>
    <mergeCell ref="A84:J84"/>
    <mergeCell ref="K84:N84"/>
    <mergeCell ref="O84:T84"/>
    <mergeCell ref="U84:Z84"/>
    <mergeCell ref="AA84:AF84"/>
    <mergeCell ref="A83:J83"/>
    <mergeCell ref="K83:N83"/>
    <mergeCell ref="O83:T83"/>
    <mergeCell ref="U83:Z83"/>
    <mergeCell ref="AA83:AF83"/>
    <mergeCell ref="A86:J86"/>
    <mergeCell ref="K86:N86"/>
    <mergeCell ref="O86:T86"/>
    <mergeCell ref="U86:Z86"/>
    <mergeCell ref="AA86:AF86"/>
    <mergeCell ref="A85:J85"/>
    <mergeCell ref="K85:N85"/>
    <mergeCell ref="O85:T85"/>
    <mergeCell ref="U85:Z85"/>
    <mergeCell ref="AA85:AF85"/>
    <mergeCell ref="A88:J88"/>
    <mergeCell ref="K88:N88"/>
    <mergeCell ref="O88:T88"/>
    <mergeCell ref="U88:Z88"/>
    <mergeCell ref="AA88:AF88"/>
    <mergeCell ref="A87:J87"/>
    <mergeCell ref="K87:N87"/>
    <mergeCell ref="O87:T87"/>
    <mergeCell ref="U87:Z87"/>
    <mergeCell ref="AA87:AF87"/>
    <mergeCell ref="A90:J90"/>
    <mergeCell ref="K90:N90"/>
    <mergeCell ref="O90:T90"/>
    <mergeCell ref="U90:Z90"/>
    <mergeCell ref="AA90:AF90"/>
    <mergeCell ref="A89:J89"/>
    <mergeCell ref="K89:N89"/>
    <mergeCell ref="O89:T89"/>
    <mergeCell ref="U89:Z89"/>
    <mergeCell ref="AA89:AF89"/>
    <mergeCell ref="A92:J92"/>
    <mergeCell ref="K92:N92"/>
    <mergeCell ref="O92:T92"/>
    <mergeCell ref="U92:Z92"/>
    <mergeCell ref="AA92:AF92"/>
    <mergeCell ref="A91:J91"/>
    <mergeCell ref="K91:N91"/>
    <mergeCell ref="O91:T91"/>
    <mergeCell ref="U91:Z91"/>
    <mergeCell ref="AA91:AF91"/>
    <mergeCell ref="A94:J94"/>
    <mergeCell ref="K94:N94"/>
    <mergeCell ref="O94:T94"/>
    <mergeCell ref="U94:Z94"/>
    <mergeCell ref="AA94:AF94"/>
    <mergeCell ref="A93:J93"/>
    <mergeCell ref="K93:N93"/>
    <mergeCell ref="O93:T93"/>
    <mergeCell ref="U93:Z93"/>
    <mergeCell ref="AA93:AF93"/>
    <mergeCell ref="A96:J96"/>
    <mergeCell ref="K96:N96"/>
    <mergeCell ref="O96:T96"/>
    <mergeCell ref="U96:Z96"/>
    <mergeCell ref="AA96:AF96"/>
    <mergeCell ref="A95:J95"/>
    <mergeCell ref="K95:N95"/>
    <mergeCell ref="O95:T95"/>
    <mergeCell ref="U95:Z95"/>
    <mergeCell ref="AA95:AF95"/>
    <mergeCell ref="A98:J98"/>
    <mergeCell ref="K98:N98"/>
    <mergeCell ref="O98:T98"/>
    <mergeCell ref="U98:Z98"/>
    <mergeCell ref="AA98:AF98"/>
    <mergeCell ref="A97:J97"/>
    <mergeCell ref="K97:N97"/>
    <mergeCell ref="O97:T97"/>
    <mergeCell ref="U97:Z97"/>
    <mergeCell ref="AA97:AF97"/>
    <mergeCell ref="A100:J100"/>
    <mergeCell ref="K100:N100"/>
    <mergeCell ref="O100:T100"/>
    <mergeCell ref="U100:Z100"/>
    <mergeCell ref="AA100:AF100"/>
    <mergeCell ref="A99:J99"/>
    <mergeCell ref="K99:N99"/>
    <mergeCell ref="O99:T99"/>
    <mergeCell ref="U99:Z99"/>
    <mergeCell ref="AA99:AF99"/>
    <mergeCell ref="A102:J102"/>
    <mergeCell ref="K102:N102"/>
    <mergeCell ref="O102:T102"/>
    <mergeCell ref="U102:Z102"/>
    <mergeCell ref="AA102:AF102"/>
    <mergeCell ref="A101:J101"/>
    <mergeCell ref="K101:N101"/>
    <mergeCell ref="O101:T101"/>
    <mergeCell ref="U101:Z101"/>
    <mergeCell ref="AA101:AF101"/>
    <mergeCell ref="A104:J104"/>
    <mergeCell ref="K104:N104"/>
    <mergeCell ref="O104:T104"/>
    <mergeCell ref="U104:Z104"/>
    <mergeCell ref="AA104:AF104"/>
    <mergeCell ref="A103:J103"/>
    <mergeCell ref="K103:N103"/>
    <mergeCell ref="O103:T103"/>
    <mergeCell ref="U103:Z103"/>
    <mergeCell ref="AA103:AF103"/>
    <mergeCell ref="A106:J106"/>
    <mergeCell ref="K106:N106"/>
    <mergeCell ref="O106:T106"/>
    <mergeCell ref="U106:Z106"/>
    <mergeCell ref="AA106:AF106"/>
    <mergeCell ref="A105:J105"/>
    <mergeCell ref="K105:N105"/>
    <mergeCell ref="O105:T105"/>
    <mergeCell ref="U105:Z105"/>
    <mergeCell ref="AA105:AF105"/>
    <mergeCell ref="A108:J108"/>
    <mergeCell ref="K108:N108"/>
    <mergeCell ref="O108:T108"/>
    <mergeCell ref="U108:Z108"/>
    <mergeCell ref="AA108:AF108"/>
    <mergeCell ref="A107:J107"/>
    <mergeCell ref="K107:N107"/>
    <mergeCell ref="O107:T107"/>
    <mergeCell ref="U107:Z107"/>
    <mergeCell ref="AA107:AF107"/>
    <mergeCell ref="A110:J110"/>
    <mergeCell ref="K110:N110"/>
    <mergeCell ref="O110:T110"/>
    <mergeCell ref="U110:Z110"/>
    <mergeCell ref="AA110:AF110"/>
    <mergeCell ref="A109:J109"/>
    <mergeCell ref="K109:N109"/>
    <mergeCell ref="O109:T109"/>
    <mergeCell ref="U109:Z109"/>
    <mergeCell ref="AA109:AF109"/>
    <mergeCell ref="A112:J112"/>
    <mergeCell ref="K112:N112"/>
    <mergeCell ref="O112:T112"/>
    <mergeCell ref="U112:Z112"/>
    <mergeCell ref="AA112:AF112"/>
    <mergeCell ref="A111:J111"/>
    <mergeCell ref="K111:N111"/>
    <mergeCell ref="O111:T111"/>
    <mergeCell ref="U111:Z111"/>
    <mergeCell ref="AA111:AF111"/>
    <mergeCell ref="A114:J114"/>
    <mergeCell ref="K114:N114"/>
    <mergeCell ref="O114:T114"/>
    <mergeCell ref="U114:Z114"/>
    <mergeCell ref="AA114:AF114"/>
    <mergeCell ref="A113:J113"/>
    <mergeCell ref="K113:N113"/>
    <mergeCell ref="O113:T113"/>
    <mergeCell ref="U113:Z113"/>
    <mergeCell ref="AA113:AF113"/>
    <mergeCell ref="A116:J116"/>
    <mergeCell ref="K116:N116"/>
    <mergeCell ref="O116:T116"/>
    <mergeCell ref="U116:Z116"/>
    <mergeCell ref="AA116:AF116"/>
    <mergeCell ref="A115:J115"/>
    <mergeCell ref="K115:N115"/>
    <mergeCell ref="O115:T115"/>
    <mergeCell ref="U115:Z115"/>
    <mergeCell ref="AA115:AF115"/>
    <mergeCell ref="A118:J118"/>
    <mergeCell ref="K118:N118"/>
    <mergeCell ref="O118:T118"/>
    <mergeCell ref="U118:Z118"/>
    <mergeCell ref="AA118:AF118"/>
    <mergeCell ref="A117:J117"/>
    <mergeCell ref="K117:N117"/>
    <mergeCell ref="O117:T117"/>
    <mergeCell ref="U117:Z117"/>
    <mergeCell ref="AA117:AF117"/>
  </mergeCells>
  <conditionalFormatting sqref="A7:A118">
    <cfRule type="cellIs" dxfId="1" priority="1" stopIfTrue="1" operator="equal">
      <formula>#REF!</formula>
    </cfRule>
  </conditionalFormatting>
  <conditionalFormatting sqref="K7:K118 O7:O118 U7:U118 AA7:AA118">
    <cfRule type="cellIs" dxfId="0" priority="2" stopIfTrue="1" operator="equal">
      <formula>#REF!</formula>
    </cfRule>
  </conditionalFormatting>
  <pageMargins left="0.7" right="0.7" top="0.75" bottom="0.75" header="0.3" footer="0.3"/>
  <pageSetup paperSize="9" scale="82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B3" sqref="B3"/>
    </sheetView>
  </sheetViews>
  <sheetFormatPr defaultRowHeight="13.2" x14ac:dyDescent="0.25"/>
  <cols>
    <col min="1" max="1" width="8.33203125" customWidth="1"/>
    <col min="2" max="2" width="41" customWidth="1"/>
    <col min="3" max="5" width="32.6640625" customWidth="1"/>
    <col min="257" max="257" width="8.33203125" customWidth="1"/>
    <col min="258" max="258" width="41" customWidth="1"/>
    <col min="259" max="261" width="32.6640625" customWidth="1"/>
    <col min="513" max="513" width="8.33203125" customWidth="1"/>
    <col min="514" max="514" width="41" customWidth="1"/>
    <col min="515" max="517" width="32.6640625" customWidth="1"/>
    <col min="769" max="769" width="8.33203125" customWidth="1"/>
    <col min="770" max="770" width="41" customWidth="1"/>
    <col min="771" max="773" width="32.6640625" customWidth="1"/>
    <col min="1025" max="1025" width="8.33203125" customWidth="1"/>
    <col min="1026" max="1026" width="41" customWidth="1"/>
    <col min="1027" max="1029" width="32.6640625" customWidth="1"/>
    <col min="1281" max="1281" width="8.33203125" customWidth="1"/>
    <col min="1282" max="1282" width="41" customWidth="1"/>
    <col min="1283" max="1285" width="32.6640625" customWidth="1"/>
    <col min="1537" max="1537" width="8.33203125" customWidth="1"/>
    <col min="1538" max="1538" width="41" customWidth="1"/>
    <col min="1539" max="1541" width="32.6640625" customWidth="1"/>
    <col min="1793" max="1793" width="8.33203125" customWidth="1"/>
    <col min="1794" max="1794" width="41" customWidth="1"/>
    <col min="1795" max="1797" width="32.6640625" customWidth="1"/>
    <col min="2049" max="2049" width="8.33203125" customWidth="1"/>
    <col min="2050" max="2050" width="41" customWidth="1"/>
    <col min="2051" max="2053" width="32.6640625" customWidth="1"/>
    <col min="2305" max="2305" width="8.33203125" customWidth="1"/>
    <col min="2306" max="2306" width="41" customWidth="1"/>
    <col min="2307" max="2309" width="32.6640625" customWidth="1"/>
    <col min="2561" max="2561" width="8.33203125" customWidth="1"/>
    <col min="2562" max="2562" width="41" customWidth="1"/>
    <col min="2563" max="2565" width="32.6640625" customWidth="1"/>
    <col min="2817" max="2817" width="8.33203125" customWidth="1"/>
    <col min="2818" max="2818" width="41" customWidth="1"/>
    <col min="2819" max="2821" width="32.6640625" customWidth="1"/>
    <col min="3073" max="3073" width="8.33203125" customWidth="1"/>
    <col min="3074" max="3074" width="41" customWidth="1"/>
    <col min="3075" max="3077" width="32.6640625" customWidth="1"/>
    <col min="3329" max="3329" width="8.33203125" customWidth="1"/>
    <col min="3330" max="3330" width="41" customWidth="1"/>
    <col min="3331" max="3333" width="32.6640625" customWidth="1"/>
    <col min="3585" max="3585" width="8.33203125" customWidth="1"/>
    <col min="3586" max="3586" width="41" customWidth="1"/>
    <col min="3587" max="3589" width="32.6640625" customWidth="1"/>
    <col min="3841" max="3841" width="8.33203125" customWidth="1"/>
    <col min="3842" max="3842" width="41" customWidth="1"/>
    <col min="3843" max="3845" width="32.6640625" customWidth="1"/>
    <col min="4097" max="4097" width="8.33203125" customWidth="1"/>
    <col min="4098" max="4098" width="41" customWidth="1"/>
    <col min="4099" max="4101" width="32.6640625" customWidth="1"/>
    <col min="4353" max="4353" width="8.33203125" customWidth="1"/>
    <col min="4354" max="4354" width="41" customWidth="1"/>
    <col min="4355" max="4357" width="32.6640625" customWidth="1"/>
    <col min="4609" max="4609" width="8.33203125" customWidth="1"/>
    <col min="4610" max="4610" width="41" customWidth="1"/>
    <col min="4611" max="4613" width="32.6640625" customWidth="1"/>
    <col min="4865" max="4865" width="8.33203125" customWidth="1"/>
    <col min="4866" max="4866" width="41" customWidth="1"/>
    <col min="4867" max="4869" width="32.6640625" customWidth="1"/>
    <col min="5121" max="5121" width="8.33203125" customWidth="1"/>
    <col min="5122" max="5122" width="41" customWidth="1"/>
    <col min="5123" max="5125" width="32.6640625" customWidth="1"/>
    <col min="5377" max="5377" width="8.33203125" customWidth="1"/>
    <col min="5378" max="5378" width="41" customWidth="1"/>
    <col min="5379" max="5381" width="32.6640625" customWidth="1"/>
    <col min="5633" max="5633" width="8.33203125" customWidth="1"/>
    <col min="5634" max="5634" width="41" customWidth="1"/>
    <col min="5635" max="5637" width="32.6640625" customWidth="1"/>
    <col min="5889" max="5889" width="8.33203125" customWidth="1"/>
    <col min="5890" max="5890" width="41" customWidth="1"/>
    <col min="5891" max="5893" width="32.6640625" customWidth="1"/>
    <col min="6145" max="6145" width="8.33203125" customWidth="1"/>
    <col min="6146" max="6146" width="41" customWidth="1"/>
    <col min="6147" max="6149" width="32.6640625" customWidth="1"/>
    <col min="6401" max="6401" width="8.33203125" customWidth="1"/>
    <col min="6402" max="6402" width="41" customWidth="1"/>
    <col min="6403" max="6405" width="32.6640625" customWidth="1"/>
    <col min="6657" max="6657" width="8.33203125" customWidth="1"/>
    <col min="6658" max="6658" width="41" customWidth="1"/>
    <col min="6659" max="6661" width="32.6640625" customWidth="1"/>
    <col min="6913" max="6913" width="8.33203125" customWidth="1"/>
    <col min="6914" max="6914" width="41" customWidth="1"/>
    <col min="6915" max="6917" width="32.6640625" customWidth="1"/>
    <col min="7169" max="7169" width="8.33203125" customWidth="1"/>
    <col min="7170" max="7170" width="41" customWidth="1"/>
    <col min="7171" max="7173" width="32.6640625" customWidth="1"/>
    <col min="7425" max="7425" width="8.33203125" customWidth="1"/>
    <col min="7426" max="7426" width="41" customWidth="1"/>
    <col min="7427" max="7429" width="32.6640625" customWidth="1"/>
    <col min="7681" max="7681" width="8.33203125" customWidth="1"/>
    <col min="7682" max="7682" width="41" customWidth="1"/>
    <col min="7683" max="7685" width="32.6640625" customWidth="1"/>
    <col min="7937" max="7937" width="8.33203125" customWidth="1"/>
    <col min="7938" max="7938" width="41" customWidth="1"/>
    <col min="7939" max="7941" width="32.6640625" customWidth="1"/>
    <col min="8193" max="8193" width="8.33203125" customWidth="1"/>
    <col min="8194" max="8194" width="41" customWidth="1"/>
    <col min="8195" max="8197" width="32.6640625" customWidth="1"/>
    <col min="8449" max="8449" width="8.33203125" customWidth="1"/>
    <col min="8450" max="8450" width="41" customWidth="1"/>
    <col min="8451" max="8453" width="32.6640625" customWidth="1"/>
    <col min="8705" max="8705" width="8.33203125" customWidth="1"/>
    <col min="8706" max="8706" width="41" customWidth="1"/>
    <col min="8707" max="8709" width="32.6640625" customWidth="1"/>
    <col min="8961" max="8961" width="8.33203125" customWidth="1"/>
    <col min="8962" max="8962" width="41" customWidth="1"/>
    <col min="8963" max="8965" width="32.6640625" customWidth="1"/>
    <col min="9217" max="9217" width="8.33203125" customWidth="1"/>
    <col min="9218" max="9218" width="41" customWidth="1"/>
    <col min="9219" max="9221" width="32.6640625" customWidth="1"/>
    <col min="9473" max="9473" width="8.33203125" customWidth="1"/>
    <col min="9474" max="9474" width="41" customWidth="1"/>
    <col min="9475" max="9477" width="32.6640625" customWidth="1"/>
    <col min="9729" max="9729" width="8.33203125" customWidth="1"/>
    <col min="9730" max="9730" width="41" customWidth="1"/>
    <col min="9731" max="9733" width="32.6640625" customWidth="1"/>
    <col min="9985" max="9985" width="8.33203125" customWidth="1"/>
    <col min="9986" max="9986" width="41" customWidth="1"/>
    <col min="9987" max="9989" width="32.6640625" customWidth="1"/>
    <col min="10241" max="10241" width="8.33203125" customWidth="1"/>
    <col min="10242" max="10242" width="41" customWidth="1"/>
    <col min="10243" max="10245" width="32.6640625" customWidth="1"/>
    <col min="10497" max="10497" width="8.33203125" customWidth="1"/>
    <col min="10498" max="10498" width="41" customWidth="1"/>
    <col min="10499" max="10501" width="32.6640625" customWidth="1"/>
    <col min="10753" max="10753" width="8.33203125" customWidth="1"/>
    <col min="10754" max="10754" width="41" customWidth="1"/>
    <col min="10755" max="10757" width="32.6640625" customWidth="1"/>
    <col min="11009" max="11009" width="8.33203125" customWidth="1"/>
    <col min="11010" max="11010" width="41" customWidth="1"/>
    <col min="11011" max="11013" width="32.6640625" customWidth="1"/>
    <col min="11265" max="11265" width="8.33203125" customWidth="1"/>
    <col min="11266" max="11266" width="41" customWidth="1"/>
    <col min="11267" max="11269" width="32.6640625" customWidth="1"/>
    <col min="11521" max="11521" width="8.33203125" customWidth="1"/>
    <col min="11522" max="11522" width="41" customWidth="1"/>
    <col min="11523" max="11525" width="32.6640625" customWidth="1"/>
    <col min="11777" max="11777" width="8.33203125" customWidth="1"/>
    <col min="11778" max="11778" width="41" customWidth="1"/>
    <col min="11779" max="11781" width="32.6640625" customWidth="1"/>
    <col min="12033" max="12033" width="8.33203125" customWidth="1"/>
    <col min="12034" max="12034" width="41" customWidth="1"/>
    <col min="12035" max="12037" width="32.6640625" customWidth="1"/>
    <col min="12289" max="12289" width="8.33203125" customWidth="1"/>
    <col min="12290" max="12290" width="41" customWidth="1"/>
    <col min="12291" max="12293" width="32.6640625" customWidth="1"/>
    <col min="12545" max="12545" width="8.33203125" customWidth="1"/>
    <col min="12546" max="12546" width="41" customWidth="1"/>
    <col min="12547" max="12549" width="32.6640625" customWidth="1"/>
    <col min="12801" max="12801" width="8.33203125" customWidth="1"/>
    <col min="12802" max="12802" width="41" customWidth="1"/>
    <col min="12803" max="12805" width="32.6640625" customWidth="1"/>
    <col min="13057" max="13057" width="8.33203125" customWidth="1"/>
    <col min="13058" max="13058" width="41" customWidth="1"/>
    <col min="13059" max="13061" width="32.6640625" customWidth="1"/>
    <col min="13313" max="13313" width="8.33203125" customWidth="1"/>
    <col min="13314" max="13314" width="41" customWidth="1"/>
    <col min="13315" max="13317" width="32.6640625" customWidth="1"/>
    <col min="13569" max="13569" width="8.33203125" customWidth="1"/>
    <col min="13570" max="13570" width="41" customWidth="1"/>
    <col min="13571" max="13573" width="32.6640625" customWidth="1"/>
    <col min="13825" max="13825" width="8.33203125" customWidth="1"/>
    <col min="13826" max="13826" width="41" customWidth="1"/>
    <col min="13827" max="13829" width="32.6640625" customWidth="1"/>
    <col min="14081" max="14081" width="8.33203125" customWidth="1"/>
    <col min="14082" max="14082" width="41" customWidth="1"/>
    <col min="14083" max="14085" width="32.6640625" customWidth="1"/>
    <col min="14337" max="14337" width="8.33203125" customWidth="1"/>
    <col min="14338" max="14338" width="41" customWidth="1"/>
    <col min="14339" max="14341" width="32.6640625" customWidth="1"/>
    <col min="14593" max="14593" width="8.33203125" customWidth="1"/>
    <col min="14594" max="14594" width="41" customWidth="1"/>
    <col min="14595" max="14597" width="32.6640625" customWidth="1"/>
    <col min="14849" max="14849" width="8.33203125" customWidth="1"/>
    <col min="14850" max="14850" width="41" customWidth="1"/>
    <col min="14851" max="14853" width="32.6640625" customWidth="1"/>
    <col min="15105" max="15105" width="8.33203125" customWidth="1"/>
    <col min="15106" max="15106" width="41" customWidth="1"/>
    <col min="15107" max="15109" width="32.6640625" customWidth="1"/>
    <col min="15361" max="15361" width="8.33203125" customWidth="1"/>
    <col min="15362" max="15362" width="41" customWidth="1"/>
    <col min="15363" max="15365" width="32.6640625" customWidth="1"/>
    <col min="15617" max="15617" width="8.33203125" customWidth="1"/>
    <col min="15618" max="15618" width="41" customWidth="1"/>
    <col min="15619" max="15621" width="32.6640625" customWidth="1"/>
    <col min="15873" max="15873" width="8.33203125" customWidth="1"/>
    <col min="15874" max="15874" width="41" customWidth="1"/>
    <col min="15875" max="15877" width="32.6640625" customWidth="1"/>
    <col min="16129" max="16129" width="8.33203125" customWidth="1"/>
    <col min="16130" max="16130" width="41" customWidth="1"/>
    <col min="16131" max="16133" width="32.6640625" customWidth="1"/>
  </cols>
  <sheetData>
    <row r="1" spans="1:5" ht="20.399999999999999" customHeight="1" thickBot="1" x14ac:dyDescent="0.3">
      <c r="A1" s="1144" t="s">
        <v>1237</v>
      </c>
      <c r="B1" s="1145"/>
      <c r="C1" s="1145"/>
      <c r="D1" s="1145"/>
      <c r="E1" s="1146"/>
    </row>
    <row r="2" spans="1:5" ht="15" x14ac:dyDescent="0.25">
      <c r="A2" s="235"/>
      <c r="B2" s="236" t="s">
        <v>373</v>
      </c>
      <c r="C2" s="236" t="s">
        <v>792</v>
      </c>
      <c r="D2" s="236" t="s">
        <v>793</v>
      </c>
      <c r="E2" s="237" t="s">
        <v>794</v>
      </c>
    </row>
    <row r="3" spans="1:5" ht="15.6" thickBot="1" x14ac:dyDescent="0.3">
      <c r="A3" s="232">
        <v>1</v>
      </c>
      <c r="B3" s="233">
        <v>2</v>
      </c>
      <c r="C3" s="233">
        <v>3</v>
      </c>
      <c r="D3" s="233">
        <v>4</v>
      </c>
      <c r="E3" s="234">
        <v>5</v>
      </c>
    </row>
    <row r="4" spans="1:5" x14ac:dyDescent="0.25">
      <c r="A4" s="228" t="s">
        <v>522</v>
      </c>
      <c r="B4" s="229" t="s">
        <v>1209</v>
      </c>
      <c r="C4" s="230">
        <v>212226941</v>
      </c>
      <c r="D4" s="230">
        <v>0</v>
      </c>
      <c r="E4" s="231">
        <v>235225956</v>
      </c>
    </row>
    <row r="5" spans="1:5" ht="26.4" x14ac:dyDescent="0.25">
      <c r="A5" s="221" t="s">
        <v>524</v>
      </c>
      <c r="B5" s="217" t="s">
        <v>1210</v>
      </c>
      <c r="C5" s="218">
        <v>52948606</v>
      </c>
      <c r="D5" s="218">
        <v>0</v>
      </c>
      <c r="E5" s="222">
        <v>70354709</v>
      </c>
    </row>
    <row r="6" spans="1:5" ht="26.4" x14ac:dyDescent="0.25">
      <c r="A6" s="221" t="s">
        <v>526</v>
      </c>
      <c r="B6" s="217" t="s">
        <v>1211</v>
      </c>
      <c r="C6" s="218">
        <v>188860</v>
      </c>
      <c r="D6" s="218">
        <v>0</v>
      </c>
      <c r="E6" s="222">
        <v>0</v>
      </c>
    </row>
    <row r="7" spans="1:5" ht="26.4" x14ac:dyDescent="0.25">
      <c r="A7" s="223" t="s">
        <v>528</v>
      </c>
      <c r="B7" s="219" t="s">
        <v>1212</v>
      </c>
      <c r="C7" s="220">
        <v>265364407</v>
      </c>
      <c r="D7" s="220">
        <v>0</v>
      </c>
      <c r="E7" s="224">
        <v>305580665</v>
      </c>
    </row>
    <row r="8" spans="1:5" x14ac:dyDescent="0.25">
      <c r="A8" s="221" t="s">
        <v>530</v>
      </c>
      <c r="B8" s="217" t="s">
        <v>1213</v>
      </c>
      <c r="C8" s="218">
        <v>2876690</v>
      </c>
      <c r="D8" s="218">
        <v>0</v>
      </c>
      <c r="E8" s="222">
        <v>-179186</v>
      </c>
    </row>
    <row r="9" spans="1:5" x14ac:dyDescent="0.25">
      <c r="A9" s="221" t="s">
        <v>532</v>
      </c>
      <c r="B9" s="217" t="s">
        <v>1214</v>
      </c>
      <c r="C9" s="218">
        <v>27719850</v>
      </c>
      <c r="D9" s="218">
        <v>0</v>
      </c>
      <c r="E9" s="222">
        <v>14030299</v>
      </c>
    </row>
    <row r="10" spans="1:5" ht="26.4" x14ac:dyDescent="0.25">
      <c r="A10" s="223" t="s">
        <v>534</v>
      </c>
      <c r="B10" s="219" t="s">
        <v>1215</v>
      </c>
      <c r="C10" s="220">
        <v>30596540</v>
      </c>
      <c r="D10" s="220">
        <v>0</v>
      </c>
      <c r="E10" s="224">
        <v>13851113</v>
      </c>
    </row>
    <row r="11" spans="1:5" ht="26.4" x14ac:dyDescent="0.25">
      <c r="A11" s="221" t="s">
        <v>536</v>
      </c>
      <c r="B11" s="217" t="s">
        <v>1216</v>
      </c>
      <c r="C11" s="218">
        <v>550237148</v>
      </c>
      <c r="D11" s="218">
        <v>0</v>
      </c>
      <c r="E11" s="222">
        <v>547659376</v>
      </c>
    </row>
    <row r="12" spans="1:5" ht="26.4" x14ac:dyDescent="0.25">
      <c r="A12" s="221" t="s">
        <v>538</v>
      </c>
      <c r="B12" s="217" t="s">
        <v>1217</v>
      </c>
      <c r="C12" s="218">
        <v>95807579</v>
      </c>
      <c r="D12" s="218">
        <v>0</v>
      </c>
      <c r="E12" s="222">
        <v>72087702</v>
      </c>
    </row>
    <row r="13" spans="1:5" ht="26.4" x14ac:dyDescent="0.25">
      <c r="A13" s="221" t="s">
        <v>540</v>
      </c>
      <c r="B13" s="217" t="s">
        <v>1218</v>
      </c>
      <c r="C13" s="218">
        <v>169898844</v>
      </c>
      <c r="D13" s="218">
        <v>0</v>
      </c>
      <c r="E13" s="222">
        <v>127727397</v>
      </c>
    </row>
    <row r="14" spans="1:5" ht="26.4" x14ac:dyDescent="0.25">
      <c r="A14" s="221" t="s">
        <v>542</v>
      </c>
      <c r="B14" s="217" t="s">
        <v>1219</v>
      </c>
      <c r="C14" s="218">
        <v>292873770</v>
      </c>
      <c r="D14" s="218">
        <v>0</v>
      </c>
      <c r="E14" s="222">
        <v>70861044</v>
      </c>
    </row>
    <row r="15" spans="1:5" ht="26.4" x14ac:dyDescent="0.25">
      <c r="A15" s="223" t="s">
        <v>544</v>
      </c>
      <c r="B15" s="219" t="s">
        <v>1220</v>
      </c>
      <c r="C15" s="220">
        <v>1108817341</v>
      </c>
      <c r="D15" s="220">
        <v>0</v>
      </c>
      <c r="E15" s="224">
        <v>818335519</v>
      </c>
    </row>
    <row r="16" spans="1:5" x14ac:dyDescent="0.25">
      <c r="A16" s="221" t="s">
        <v>546</v>
      </c>
      <c r="B16" s="217" t="s">
        <v>1221</v>
      </c>
      <c r="C16" s="218">
        <v>12328803</v>
      </c>
      <c r="D16" s="218">
        <v>0</v>
      </c>
      <c r="E16" s="222">
        <v>14099989</v>
      </c>
    </row>
    <row r="17" spans="1:5" x14ac:dyDescent="0.25">
      <c r="A17" s="221" t="s">
        <v>548</v>
      </c>
      <c r="B17" s="217" t="s">
        <v>1222</v>
      </c>
      <c r="C17" s="218">
        <v>89731698</v>
      </c>
      <c r="D17" s="218">
        <v>0</v>
      </c>
      <c r="E17" s="222">
        <v>131404622</v>
      </c>
    </row>
    <row r="18" spans="1:5" x14ac:dyDescent="0.25">
      <c r="A18" s="221" t="s">
        <v>550</v>
      </c>
      <c r="B18" s="217" t="s">
        <v>1223</v>
      </c>
      <c r="C18" s="218">
        <v>74193442</v>
      </c>
      <c r="D18" s="218">
        <v>0</v>
      </c>
      <c r="E18" s="222">
        <v>0</v>
      </c>
    </row>
    <row r="19" spans="1:5" x14ac:dyDescent="0.25">
      <c r="A19" s="221" t="s">
        <v>552</v>
      </c>
      <c r="B19" s="217" t="s">
        <v>1224</v>
      </c>
      <c r="C19" s="218">
        <v>20241525</v>
      </c>
      <c r="D19" s="218">
        <v>0</v>
      </c>
      <c r="E19" s="222">
        <v>20961765</v>
      </c>
    </row>
    <row r="20" spans="1:5" x14ac:dyDescent="0.25">
      <c r="A20" s="223" t="s">
        <v>554</v>
      </c>
      <c r="B20" s="219" t="s">
        <v>1225</v>
      </c>
      <c r="C20" s="220">
        <v>196495468</v>
      </c>
      <c r="D20" s="220">
        <v>0</v>
      </c>
      <c r="E20" s="224">
        <v>166466376</v>
      </c>
    </row>
    <row r="21" spans="1:5" x14ac:dyDescent="0.25">
      <c r="A21" s="221" t="s">
        <v>556</v>
      </c>
      <c r="B21" s="217" t="s">
        <v>1226</v>
      </c>
      <c r="C21" s="218">
        <v>79439932</v>
      </c>
      <c r="D21" s="218">
        <v>0</v>
      </c>
      <c r="E21" s="222">
        <v>56239260</v>
      </c>
    </row>
    <row r="22" spans="1:5" x14ac:dyDescent="0.25">
      <c r="A22" s="221" t="s">
        <v>558</v>
      </c>
      <c r="B22" s="217" t="s">
        <v>1227</v>
      </c>
      <c r="C22" s="218">
        <v>27935669</v>
      </c>
      <c r="D22" s="218">
        <v>0</v>
      </c>
      <c r="E22" s="222">
        <v>24268330</v>
      </c>
    </row>
    <row r="23" spans="1:5" x14ac:dyDescent="0.25">
      <c r="A23" s="221" t="s">
        <v>560</v>
      </c>
      <c r="B23" s="217" t="s">
        <v>1228</v>
      </c>
      <c r="C23" s="218">
        <v>18312836</v>
      </c>
      <c r="D23" s="218">
        <v>0</v>
      </c>
      <c r="E23" s="222">
        <v>13004367</v>
      </c>
    </row>
    <row r="24" spans="1:5" x14ac:dyDescent="0.25">
      <c r="A24" s="223" t="s">
        <v>562</v>
      </c>
      <c r="B24" s="219" t="s">
        <v>1229</v>
      </c>
      <c r="C24" s="220">
        <v>125688437</v>
      </c>
      <c r="D24" s="220">
        <v>0</v>
      </c>
      <c r="E24" s="224">
        <v>93511957</v>
      </c>
    </row>
    <row r="25" spans="1:5" x14ac:dyDescent="0.25">
      <c r="A25" s="223" t="s">
        <v>564</v>
      </c>
      <c r="B25" s="219" t="s">
        <v>1230</v>
      </c>
      <c r="C25" s="220">
        <v>187341199</v>
      </c>
      <c r="D25" s="220">
        <v>0</v>
      </c>
      <c r="E25" s="224">
        <v>191190597</v>
      </c>
    </row>
    <row r="26" spans="1:5" x14ac:dyDescent="0.25">
      <c r="A26" s="223" t="s">
        <v>566</v>
      </c>
      <c r="B26" s="219" t="s">
        <v>1231</v>
      </c>
      <c r="C26" s="220">
        <v>833459717</v>
      </c>
      <c r="D26" s="220">
        <v>0</v>
      </c>
      <c r="E26" s="224">
        <v>717354449</v>
      </c>
    </row>
    <row r="27" spans="1:5" ht="26.4" x14ac:dyDescent="0.25">
      <c r="A27" s="223" t="s">
        <v>568</v>
      </c>
      <c r="B27" s="219" t="s">
        <v>1232</v>
      </c>
      <c r="C27" s="220">
        <v>61793467</v>
      </c>
      <c r="D27" s="220">
        <v>0</v>
      </c>
      <c r="E27" s="224">
        <v>-30756082</v>
      </c>
    </row>
    <row r="28" spans="1:5" ht="26.4" x14ac:dyDescent="0.25">
      <c r="A28" s="221" t="s">
        <v>576</v>
      </c>
      <c r="B28" s="217" t="s">
        <v>1233</v>
      </c>
      <c r="C28" s="218">
        <v>2716400</v>
      </c>
      <c r="D28" s="218">
        <v>0</v>
      </c>
      <c r="E28" s="222">
        <v>47935</v>
      </c>
    </row>
    <row r="29" spans="1:5" ht="26.4" x14ac:dyDescent="0.25">
      <c r="A29" s="223" t="s">
        <v>584</v>
      </c>
      <c r="B29" s="219" t="s">
        <v>1234</v>
      </c>
      <c r="C29" s="220">
        <v>2716400</v>
      </c>
      <c r="D29" s="220">
        <v>0</v>
      </c>
      <c r="E29" s="224">
        <v>47935</v>
      </c>
    </row>
    <row r="30" spans="1:5" ht="27" thickBot="1" x14ac:dyDescent="0.3">
      <c r="A30" s="244" t="s">
        <v>606</v>
      </c>
      <c r="B30" s="245" t="s">
        <v>1235</v>
      </c>
      <c r="C30" s="246">
        <v>2716400</v>
      </c>
      <c r="D30" s="246">
        <v>0</v>
      </c>
      <c r="E30" s="247">
        <v>47935</v>
      </c>
    </row>
    <row r="31" spans="1:5" ht="13.8" thickBot="1" x14ac:dyDescent="0.3">
      <c r="A31" s="210" t="s">
        <v>608</v>
      </c>
      <c r="B31" s="211" t="s">
        <v>1236</v>
      </c>
      <c r="C31" s="212">
        <v>64509867</v>
      </c>
      <c r="D31" s="212">
        <v>0</v>
      </c>
      <c r="E31" s="213">
        <v>-30708147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2"/>
  <sheetViews>
    <sheetView view="pageBreakPreview" topLeftCell="A100" zoomScale="75" zoomScaleNormal="75" zoomScaleSheetLayoutView="75" workbookViewId="0">
      <selection activeCell="J115" sqref="J115"/>
    </sheetView>
  </sheetViews>
  <sheetFormatPr defaultRowHeight="13.2" x14ac:dyDescent="0.25"/>
  <cols>
    <col min="1" max="1" width="6.44140625" style="15" bestFit="1" customWidth="1"/>
    <col min="2" max="2" width="41.44140625" style="15" customWidth="1"/>
    <col min="3" max="3" width="19.33203125" style="15" customWidth="1"/>
    <col min="4" max="5" width="18.5546875" style="16" customWidth="1"/>
    <col min="6" max="6" width="15.5546875" style="16" customWidth="1"/>
    <col min="7" max="7" width="0.6640625" style="16" customWidth="1"/>
    <col min="8" max="8" width="15.5546875" style="15" customWidth="1"/>
    <col min="9" max="10" width="15.5546875" style="16" customWidth="1"/>
    <col min="11" max="11" width="0.6640625" style="16" customWidth="1"/>
    <col min="12" max="14" width="10.5546875" style="15" customWidth="1"/>
    <col min="15" max="15" width="0.6640625" style="16" customWidth="1"/>
    <col min="16" max="18" width="14.5546875" style="15" customWidth="1"/>
    <col min="19" max="19" width="15.5546875" style="15" customWidth="1"/>
    <col min="20" max="20" width="10.5546875" style="15" customWidth="1"/>
    <col min="21" max="21" width="0.6640625" style="16" customWidth="1"/>
    <col min="22" max="22" width="4.6640625" customWidth="1"/>
  </cols>
  <sheetData>
    <row r="1" spans="1:27" ht="24.6" x14ac:dyDescent="0.4">
      <c r="A1" s="83" t="s">
        <v>466</v>
      </c>
      <c r="B1" s="489"/>
      <c r="C1" s="489"/>
      <c r="D1" s="489"/>
      <c r="E1" s="489"/>
      <c r="F1" s="728"/>
      <c r="G1" s="490"/>
      <c r="H1" s="491"/>
      <c r="I1" s="491"/>
      <c r="J1" s="492" t="str">
        <f>+'1. Sülysáp összesen'!J1</f>
        <v>2018. ÉV KÖLTSÉGVETÉS</v>
      </c>
      <c r="K1" s="83"/>
      <c r="L1" s="83"/>
      <c r="M1" s="491"/>
      <c r="N1" s="491"/>
      <c r="O1" s="491"/>
      <c r="P1" s="491"/>
      <c r="Q1" s="491"/>
      <c r="R1" s="491"/>
      <c r="S1" s="491"/>
      <c r="T1" s="491"/>
      <c r="U1" s="491"/>
      <c r="V1" s="687"/>
      <c r="W1" s="491"/>
      <c r="X1" s="80"/>
      <c r="Y1" s="28"/>
      <c r="Z1" s="28"/>
      <c r="AA1" s="28"/>
    </row>
    <row r="2" spans="1:27" ht="21" hidden="1" x14ac:dyDescent="0.25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1"/>
      <c r="V2" s="687"/>
      <c r="W2" s="494"/>
    </row>
    <row r="3" spans="1:27" ht="21" hidden="1" x14ac:dyDescent="0.25">
      <c r="A3" s="497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1"/>
      <c r="V3" s="687"/>
      <c r="W3" s="494"/>
    </row>
    <row r="4" spans="1:27" x14ac:dyDescent="0.25">
      <c r="A4" s="497"/>
      <c r="B4" s="497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7"/>
      <c r="U4" s="494"/>
      <c r="V4" s="687"/>
      <c r="W4" s="494"/>
    </row>
    <row r="5" spans="1:27" ht="14.1" hidden="1" customHeight="1" x14ac:dyDescent="0.25">
      <c r="A5" s="497"/>
      <c r="B5" s="497"/>
      <c r="C5" s="729"/>
      <c r="D5" s="729"/>
      <c r="E5" s="729"/>
      <c r="F5" s="729"/>
      <c r="G5" s="729"/>
      <c r="H5" s="730"/>
      <c r="I5" s="730"/>
      <c r="J5" s="730"/>
      <c r="K5" s="729"/>
      <c r="L5" s="731"/>
      <c r="M5" s="732"/>
      <c r="N5" s="732"/>
      <c r="O5" s="729"/>
      <c r="P5" s="730"/>
      <c r="Q5" s="730"/>
      <c r="R5" s="730"/>
      <c r="S5" s="730"/>
      <c r="T5" s="732"/>
      <c r="U5" s="496"/>
      <c r="V5" s="687"/>
      <c r="W5" s="494"/>
    </row>
    <row r="6" spans="1:27" ht="14.1" hidden="1" customHeight="1" x14ac:dyDescent="0.25">
      <c r="A6" s="497"/>
      <c r="B6" s="497"/>
      <c r="C6" s="729"/>
      <c r="D6" s="729"/>
      <c r="E6" s="729"/>
      <c r="F6" s="729"/>
      <c r="G6" s="729"/>
      <c r="H6" s="730"/>
      <c r="I6" s="730"/>
      <c r="J6" s="730"/>
      <c r="K6" s="729"/>
      <c r="L6" s="731"/>
      <c r="M6" s="732"/>
      <c r="N6" s="732"/>
      <c r="O6" s="729"/>
      <c r="P6" s="730"/>
      <c r="Q6" s="730"/>
      <c r="R6" s="730"/>
      <c r="S6" s="730"/>
      <c r="T6" s="732"/>
      <c r="U6" s="496"/>
      <c r="V6" s="687"/>
      <c r="W6" s="494"/>
    </row>
    <row r="7" spans="1:27" ht="15.6" x14ac:dyDescent="0.25">
      <c r="A7" s="497"/>
      <c r="B7" s="497"/>
      <c r="C7" s="1070" t="s">
        <v>415</v>
      </c>
      <c r="D7" s="1071"/>
      <c r="E7" s="1071"/>
      <c r="F7" s="1072"/>
      <c r="G7" s="733"/>
      <c r="H7" s="1070" t="s">
        <v>414</v>
      </c>
      <c r="I7" s="1073"/>
      <c r="J7" s="1073"/>
      <c r="K7" s="1073"/>
      <c r="L7" s="1073"/>
      <c r="M7" s="1073"/>
      <c r="N7" s="1074"/>
      <c r="O7" s="733"/>
      <c r="P7" s="1070" t="s">
        <v>411</v>
      </c>
      <c r="Q7" s="1071"/>
      <c r="R7" s="1071"/>
      <c r="S7" s="1071"/>
      <c r="T7" s="1072"/>
      <c r="U7" s="494"/>
      <c r="V7" s="687"/>
      <c r="W7" s="494"/>
    </row>
    <row r="8" spans="1:27" ht="13.8" x14ac:dyDescent="0.25">
      <c r="A8" s="497"/>
      <c r="B8" s="497"/>
      <c r="C8" s="734"/>
      <c r="D8" s="735"/>
      <c r="E8" s="735"/>
      <c r="F8" s="736"/>
      <c r="G8" s="729"/>
      <c r="H8" s="1075" t="s">
        <v>424</v>
      </c>
      <c r="I8" s="1076"/>
      <c r="J8" s="1076"/>
      <c r="K8" s="495"/>
      <c r="L8" s="1077" t="s">
        <v>423</v>
      </c>
      <c r="M8" s="1076"/>
      <c r="N8" s="1078"/>
      <c r="O8" s="729"/>
      <c r="P8" s="737">
        <f>+'1. Sülysáp összesen'!P8</f>
        <v>1</v>
      </c>
      <c r="Q8" s="738">
        <f>+' 2. Önk. Bevételek'!Q8</f>
        <v>1</v>
      </c>
      <c r="R8" s="738">
        <f>+'1. Sülysáp összesen'!R8</f>
        <v>1</v>
      </c>
      <c r="S8" s="735"/>
      <c r="T8" s="736"/>
      <c r="U8" s="494"/>
      <c r="V8" s="689" t="str">
        <f>+'1. Sülysáp összesen'!V5</f>
        <v>F-oszlop</v>
      </c>
      <c r="W8" s="494"/>
    </row>
    <row r="9" spans="1:27" ht="20.100000000000001" customHeight="1" x14ac:dyDescent="0.25">
      <c r="A9" s="739"/>
      <c r="B9" s="135" t="s">
        <v>379</v>
      </c>
      <c r="C9" s="158">
        <f>+C22</f>
        <v>1755110245</v>
      </c>
      <c r="D9" s="136">
        <f t="shared" ref="D9:J9" si="0">+D22</f>
        <v>1756051845</v>
      </c>
      <c r="E9" s="136">
        <f t="shared" si="0"/>
        <v>1806051845</v>
      </c>
      <c r="F9" s="162">
        <f t="shared" si="0"/>
        <v>1802755197</v>
      </c>
      <c r="G9" s="136"/>
      <c r="H9" s="158">
        <f t="shared" si="0"/>
        <v>1185835049</v>
      </c>
      <c r="I9" s="136">
        <f t="shared" si="0"/>
        <v>1455996002</v>
      </c>
      <c r="J9" s="136">
        <f t="shared" si="0"/>
        <v>1695546244</v>
      </c>
      <c r="K9" s="137"/>
      <c r="L9" s="138">
        <f>H9/C9</f>
        <v>0.67564704404081466</v>
      </c>
      <c r="M9" s="139">
        <f>I9/D9</f>
        <v>0.82913041898258988</v>
      </c>
      <c r="N9" s="159">
        <f>+J9/E9</f>
        <v>0.93881371605918651</v>
      </c>
      <c r="O9" s="137"/>
      <c r="P9" s="158">
        <f>IF(D9&gt;0,+D9-C9,0)</f>
        <v>941600</v>
      </c>
      <c r="Q9" s="136">
        <f>IF(E9&gt;0,+E9-D9,0)</f>
        <v>50000000</v>
      </c>
      <c r="R9" s="136">
        <f>IF(F9&gt;0,+F9-E9,0)</f>
        <v>-3296648</v>
      </c>
      <c r="S9" s="136">
        <f>SUM(P9:R9)</f>
        <v>47644952</v>
      </c>
      <c r="T9" s="159">
        <f>+S9/C9</f>
        <v>2.7146415523316599E-2</v>
      </c>
      <c r="U9" s="97"/>
      <c r="V9" s="688">
        <f>+S9-F9+C9</f>
        <v>0</v>
      </c>
      <c r="W9" s="494"/>
    </row>
    <row r="10" spans="1:27" ht="13.8" x14ac:dyDescent="0.25">
      <c r="A10" s="740"/>
      <c r="B10" s="741"/>
      <c r="C10" s="742"/>
      <c r="D10" s="729"/>
      <c r="E10" s="729"/>
      <c r="F10" s="743"/>
      <c r="G10" s="729"/>
      <c r="H10" s="742"/>
      <c r="I10" s="729"/>
      <c r="J10" s="729"/>
      <c r="K10" s="729"/>
      <c r="L10" s="744"/>
      <c r="M10" s="745"/>
      <c r="N10" s="746"/>
      <c r="O10" s="729"/>
      <c r="P10" s="742"/>
      <c r="Q10" s="729"/>
      <c r="R10" s="729"/>
      <c r="S10" s="729"/>
      <c r="T10" s="746"/>
      <c r="U10" s="630"/>
      <c r="V10" s="747"/>
      <c r="W10" s="494"/>
    </row>
    <row r="11" spans="1:27" s="1" customFormat="1" ht="64.5" customHeight="1" x14ac:dyDescent="0.25">
      <c r="A11" s="140" t="s">
        <v>375</v>
      </c>
      <c r="B11" s="140" t="s">
        <v>373</v>
      </c>
      <c r="C11" s="163" t="s">
        <v>484</v>
      </c>
      <c r="D11" s="141" t="s">
        <v>485</v>
      </c>
      <c r="E11" s="141" t="s">
        <v>486</v>
      </c>
      <c r="F11" s="164" t="s">
        <v>487</v>
      </c>
      <c r="G11" s="141"/>
      <c r="H11" s="160" t="s">
        <v>497</v>
      </c>
      <c r="I11" s="142" t="s">
        <v>498</v>
      </c>
      <c r="J11" s="142" t="s">
        <v>499</v>
      </c>
      <c r="K11" s="141"/>
      <c r="L11" s="143" t="s">
        <v>500</v>
      </c>
      <c r="M11" s="143" t="s">
        <v>502</v>
      </c>
      <c r="N11" s="161" t="s">
        <v>501</v>
      </c>
      <c r="O11" s="141"/>
      <c r="P11" s="160" t="s">
        <v>494</v>
      </c>
      <c r="Q11" s="142" t="s">
        <v>495</v>
      </c>
      <c r="R11" s="142" t="s">
        <v>496</v>
      </c>
      <c r="S11" s="142" t="s">
        <v>412</v>
      </c>
      <c r="T11" s="161" t="s">
        <v>413</v>
      </c>
      <c r="U11" s="134"/>
      <c r="V11" s="52" t="s">
        <v>417</v>
      </c>
      <c r="W11" s="631"/>
    </row>
    <row r="12" spans="1:27" x14ac:dyDescent="0.25">
      <c r="A12" s="748"/>
      <c r="B12" s="749"/>
      <c r="C12" s="750"/>
      <c r="D12" s="751"/>
      <c r="E12" s="751"/>
      <c r="F12" s="752"/>
      <c r="G12" s="751"/>
      <c r="H12" s="753"/>
      <c r="I12" s="728"/>
      <c r="J12" s="728"/>
      <c r="K12" s="751"/>
      <c r="L12" s="744"/>
      <c r="M12" s="754"/>
      <c r="N12" s="755"/>
      <c r="O12" s="751"/>
      <c r="P12" s="753"/>
      <c r="Q12" s="728"/>
      <c r="R12" s="728"/>
      <c r="S12" s="728"/>
      <c r="T12" s="756"/>
      <c r="U12" s="757"/>
      <c r="V12" s="690"/>
      <c r="W12" s="494"/>
    </row>
    <row r="13" spans="1:27" x14ac:dyDescent="0.25">
      <c r="A13" s="500" t="s">
        <v>242</v>
      </c>
      <c r="B13" s="758" t="s">
        <v>454</v>
      </c>
      <c r="C13" s="701">
        <f>+C36</f>
        <v>617137846</v>
      </c>
      <c r="D13" s="701">
        <f t="shared" ref="D13:E13" si="1">+D36</f>
        <v>600347025</v>
      </c>
      <c r="E13" s="701">
        <f t="shared" si="1"/>
        <v>606967468</v>
      </c>
      <c r="F13" s="701">
        <f t="shared" ref="F13" si="2">+F36</f>
        <v>623149174</v>
      </c>
      <c r="G13" s="759"/>
      <c r="H13" s="762">
        <f t="shared" ref="H13:J13" si="3">+H36</f>
        <v>313863193</v>
      </c>
      <c r="I13" s="701">
        <f t="shared" si="3"/>
        <v>481441129</v>
      </c>
      <c r="J13" s="701">
        <f t="shared" si="3"/>
        <v>623149174</v>
      </c>
      <c r="K13" s="701"/>
      <c r="L13" s="702">
        <f>IF(D13=0,0,H13/D13)</f>
        <v>0.52280294551305551</v>
      </c>
      <c r="M13" s="702">
        <f>IF(E13=0,0,I13/E13)</f>
        <v>0.79319099355749989</v>
      </c>
      <c r="N13" s="702">
        <f>IF(F13=0,0,J13/F13)</f>
        <v>1</v>
      </c>
      <c r="O13" s="759"/>
      <c r="P13" s="587">
        <f t="shared" ref="P13:R19" si="4">+(D13-C13)*P$8</f>
        <v>-16790821</v>
      </c>
      <c r="Q13" s="587">
        <f t="shared" si="4"/>
        <v>6620443</v>
      </c>
      <c r="R13" s="587">
        <f t="shared" si="4"/>
        <v>16181706</v>
      </c>
      <c r="S13" s="587">
        <f t="shared" ref="S13:S19" si="5">SUM(P13:R13)</f>
        <v>6011328</v>
      </c>
      <c r="T13" s="637">
        <f t="shared" ref="T13:T22" si="6">IF(C13=0,0,+S13/C13)</f>
        <v>9.7406568710096571E-3</v>
      </c>
      <c r="U13" s="761"/>
      <c r="V13" s="747">
        <f>+S13-F13+C13</f>
        <v>0</v>
      </c>
      <c r="W13" s="494"/>
    </row>
    <row r="14" spans="1:27" ht="15" customHeight="1" x14ac:dyDescent="0.25">
      <c r="A14" s="500" t="s">
        <v>263</v>
      </c>
      <c r="B14" s="758" t="s">
        <v>453</v>
      </c>
      <c r="C14" s="701">
        <f>+C48</f>
        <v>262000000</v>
      </c>
      <c r="D14" s="701">
        <f t="shared" ref="D14:E14" si="7">+D48</f>
        <v>265315728</v>
      </c>
      <c r="E14" s="701">
        <f t="shared" si="7"/>
        <v>265315728</v>
      </c>
      <c r="F14" s="701">
        <f t="shared" ref="F14" si="8">+F48</f>
        <v>220578157</v>
      </c>
      <c r="G14" s="759"/>
      <c r="H14" s="701">
        <f t="shared" ref="H14:J14" si="9">+H48</f>
        <v>215315728</v>
      </c>
      <c r="I14" s="701">
        <f t="shared" si="9"/>
        <v>218778157</v>
      </c>
      <c r="J14" s="701">
        <f t="shared" si="9"/>
        <v>220578157</v>
      </c>
      <c r="K14" s="701"/>
      <c r="L14" s="702">
        <f t="shared" ref="L14:L22" si="10">IF(D14=0,0,H14/D14)</f>
        <v>0.81154528464290665</v>
      </c>
      <c r="M14" s="702">
        <f t="shared" ref="M14:M22" si="11">IF(E14=0,0,I14/E14)</f>
        <v>0.82459550607568954</v>
      </c>
      <c r="N14" s="702">
        <f t="shared" ref="N14:N22" si="12">IF(F14=0,0,J14/F14)</f>
        <v>1</v>
      </c>
      <c r="O14" s="759"/>
      <c r="P14" s="587">
        <f t="shared" si="4"/>
        <v>3315728</v>
      </c>
      <c r="Q14" s="587">
        <f t="shared" si="4"/>
        <v>0</v>
      </c>
      <c r="R14" s="587">
        <f t="shared" si="4"/>
        <v>-44737571</v>
      </c>
      <c r="S14" s="587">
        <f t="shared" si="5"/>
        <v>-41421843</v>
      </c>
      <c r="T14" s="637">
        <f t="shared" si="6"/>
        <v>-0.15809863740458016</v>
      </c>
      <c r="U14" s="761"/>
      <c r="V14" s="747">
        <f t="shared" ref="V14:V23" si="13">+S14-F14+C14</f>
        <v>0</v>
      </c>
      <c r="W14" s="494"/>
    </row>
    <row r="15" spans="1:27" x14ac:dyDescent="0.25">
      <c r="A15" s="500" t="s">
        <v>271</v>
      </c>
      <c r="B15" s="758" t="s">
        <v>272</v>
      </c>
      <c r="C15" s="701">
        <f>+C60</f>
        <v>205000000</v>
      </c>
      <c r="D15" s="701">
        <f t="shared" ref="D15:E15" si="14">+D60</f>
        <v>206000000</v>
      </c>
      <c r="E15" s="701">
        <f t="shared" si="14"/>
        <v>206000000</v>
      </c>
      <c r="F15" s="701">
        <f t="shared" ref="F15" si="15">+F60</f>
        <v>259000000</v>
      </c>
      <c r="G15" s="759"/>
      <c r="H15" s="701">
        <f t="shared" ref="H15:J15" si="16">+H60</f>
        <v>125571595</v>
      </c>
      <c r="I15" s="701">
        <f t="shared" si="16"/>
        <v>198060016</v>
      </c>
      <c r="J15" s="701">
        <f t="shared" si="16"/>
        <v>245141050</v>
      </c>
      <c r="K15" s="701"/>
      <c r="L15" s="702">
        <f t="shared" si="10"/>
        <v>0.60957084951456308</v>
      </c>
      <c r="M15" s="702">
        <f t="shared" si="11"/>
        <v>0.96145638834951452</v>
      </c>
      <c r="N15" s="702">
        <f t="shared" si="12"/>
        <v>0.94649054054054049</v>
      </c>
      <c r="O15" s="759"/>
      <c r="P15" s="587">
        <f t="shared" si="4"/>
        <v>1000000</v>
      </c>
      <c r="Q15" s="587">
        <f t="shared" si="4"/>
        <v>0</v>
      </c>
      <c r="R15" s="587">
        <f t="shared" si="4"/>
        <v>53000000</v>
      </c>
      <c r="S15" s="587">
        <f t="shared" si="5"/>
        <v>54000000</v>
      </c>
      <c r="T15" s="637">
        <f t="shared" si="6"/>
        <v>0.26341463414634148</v>
      </c>
      <c r="U15" s="761"/>
      <c r="V15" s="747">
        <f t="shared" si="13"/>
        <v>0</v>
      </c>
      <c r="W15" s="494"/>
    </row>
    <row r="16" spans="1:27" x14ac:dyDescent="0.25">
      <c r="A16" s="500" t="s">
        <v>285</v>
      </c>
      <c r="B16" s="758" t="s">
        <v>286</v>
      </c>
      <c r="C16" s="762">
        <f>+C72</f>
        <v>95594000</v>
      </c>
      <c r="D16" s="701">
        <f t="shared" ref="D16:E16" si="17">+D72</f>
        <v>111844030</v>
      </c>
      <c r="E16" s="701">
        <f t="shared" si="17"/>
        <v>161844030</v>
      </c>
      <c r="F16" s="701">
        <f t="shared" ref="F16" si="18">+F72</f>
        <v>190074642</v>
      </c>
      <c r="G16" s="759"/>
      <c r="H16" s="762">
        <f t="shared" ref="H16:J16" si="19">+H72</f>
        <v>62362913</v>
      </c>
      <c r="I16" s="762">
        <f t="shared" si="19"/>
        <v>84417175</v>
      </c>
      <c r="J16" s="701">
        <f t="shared" si="19"/>
        <v>110159559</v>
      </c>
      <c r="K16" s="701"/>
      <c r="L16" s="702">
        <f t="shared" si="10"/>
        <v>0.5575882145877612</v>
      </c>
      <c r="M16" s="702">
        <f t="shared" si="11"/>
        <v>0.52159585373646467</v>
      </c>
      <c r="N16" s="702">
        <f t="shared" si="12"/>
        <v>0.57955947116817408</v>
      </c>
      <c r="O16" s="759"/>
      <c r="P16" s="587">
        <f t="shared" si="4"/>
        <v>16250030</v>
      </c>
      <c r="Q16" s="587">
        <f t="shared" si="4"/>
        <v>50000000</v>
      </c>
      <c r="R16" s="587">
        <f t="shared" si="4"/>
        <v>28230612</v>
      </c>
      <c r="S16" s="587">
        <f t="shared" si="5"/>
        <v>94480642</v>
      </c>
      <c r="T16" s="637">
        <f t="shared" si="6"/>
        <v>0.98835326484925834</v>
      </c>
      <c r="U16" s="761"/>
      <c r="V16" s="747">
        <f t="shared" si="13"/>
        <v>0</v>
      </c>
      <c r="W16" s="494"/>
    </row>
    <row r="17" spans="1:23" x14ac:dyDescent="0.25">
      <c r="A17" s="500" t="s">
        <v>311</v>
      </c>
      <c r="B17" s="758" t="s">
        <v>312</v>
      </c>
      <c r="C17" s="701">
        <f>+C84</f>
        <v>100700000</v>
      </c>
      <c r="D17" s="701">
        <f t="shared" ref="D17:E17" si="20">+D84</f>
        <v>97252913</v>
      </c>
      <c r="E17" s="701">
        <f t="shared" si="20"/>
        <v>90632470</v>
      </c>
      <c r="F17" s="701">
        <f t="shared" ref="F17" si="21">+F84</f>
        <v>34411075</v>
      </c>
      <c r="G17" s="759"/>
      <c r="H17" s="701">
        <f t="shared" ref="H17:J17" si="22">+H84</f>
        <v>11629471</v>
      </c>
      <c r="I17" s="701">
        <f t="shared" si="22"/>
        <v>15967376</v>
      </c>
      <c r="J17" s="701">
        <f t="shared" si="22"/>
        <v>21217407</v>
      </c>
      <c r="K17" s="701"/>
      <c r="L17" s="702">
        <f t="shared" si="10"/>
        <v>0.11957966750055085</v>
      </c>
      <c r="M17" s="702">
        <f t="shared" si="11"/>
        <v>0.17617721330997599</v>
      </c>
      <c r="N17" s="702">
        <f t="shared" si="12"/>
        <v>0.61658657859424615</v>
      </c>
      <c r="O17" s="759"/>
      <c r="P17" s="587">
        <f t="shared" si="4"/>
        <v>-3447087</v>
      </c>
      <c r="Q17" s="587">
        <f t="shared" si="4"/>
        <v>-6620443</v>
      </c>
      <c r="R17" s="587">
        <f t="shared" si="4"/>
        <v>-56221395</v>
      </c>
      <c r="S17" s="587">
        <f t="shared" si="5"/>
        <v>-66288925</v>
      </c>
      <c r="T17" s="637">
        <f t="shared" si="6"/>
        <v>-0.65828128103277062</v>
      </c>
      <c r="U17" s="761"/>
      <c r="V17" s="747">
        <f t="shared" si="13"/>
        <v>0</v>
      </c>
      <c r="W17" s="494"/>
    </row>
    <row r="18" spans="1:23" x14ac:dyDescent="0.25">
      <c r="A18" s="500" t="s">
        <v>321</v>
      </c>
      <c r="B18" s="758" t="s">
        <v>322</v>
      </c>
      <c r="C18" s="701">
        <f>+C96</f>
        <v>0</v>
      </c>
      <c r="D18" s="701">
        <f t="shared" ref="D18:E18" si="23">+D96</f>
        <v>240000</v>
      </c>
      <c r="E18" s="701">
        <f t="shared" si="23"/>
        <v>240000</v>
      </c>
      <c r="F18" s="701">
        <f t="shared" ref="F18" si="24">+F96</f>
        <v>240000</v>
      </c>
      <c r="G18" s="759"/>
      <c r="H18" s="701">
        <f t="shared" ref="H18:J18" si="25">+H96</f>
        <v>40000</v>
      </c>
      <c r="I18" s="701">
        <f t="shared" si="25"/>
        <v>60000</v>
      </c>
      <c r="J18" s="701">
        <f t="shared" si="25"/>
        <v>60000</v>
      </c>
      <c r="K18" s="701"/>
      <c r="L18" s="702">
        <f t="shared" si="10"/>
        <v>0.16666666666666666</v>
      </c>
      <c r="M18" s="702">
        <f t="shared" si="11"/>
        <v>0.25</v>
      </c>
      <c r="N18" s="702">
        <f t="shared" si="12"/>
        <v>0.25</v>
      </c>
      <c r="O18" s="759"/>
      <c r="P18" s="587">
        <f t="shared" si="4"/>
        <v>240000</v>
      </c>
      <c r="Q18" s="587">
        <f t="shared" si="4"/>
        <v>0</v>
      </c>
      <c r="R18" s="587">
        <f t="shared" si="4"/>
        <v>0</v>
      </c>
      <c r="S18" s="587">
        <f t="shared" si="5"/>
        <v>240000</v>
      </c>
      <c r="T18" s="637">
        <f t="shared" si="6"/>
        <v>0</v>
      </c>
      <c r="U18" s="761"/>
      <c r="V18" s="747">
        <f t="shared" si="13"/>
        <v>0</v>
      </c>
      <c r="W18" s="494"/>
    </row>
    <row r="19" spans="1:23" x14ac:dyDescent="0.25">
      <c r="A19" s="500" t="s">
        <v>328</v>
      </c>
      <c r="B19" s="758" t="s">
        <v>329</v>
      </c>
      <c r="C19" s="701">
        <f>+C108</f>
        <v>0</v>
      </c>
      <c r="D19" s="701">
        <f t="shared" ref="D19:E19" si="26">+D108</f>
        <v>373750</v>
      </c>
      <c r="E19" s="701">
        <f t="shared" si="26"/>
        <v>373750</v>
      </c>
      <c r="F19" s="701">
        <f t="shared" ref="F19" si="27">+F108</f>
        <v>623750</v>
      </c>
      <c r="G19" s="759"/>
      <c r="H19" s="701">
        <f t="shared" ref="H19:J19" si="28">+H108</f>
        <v>373750</v>
      </c>
      <c r="I19" s="701">
        <f t="shared" si="28"/>
        <v>593750</v>
      </c>
      <c r="J19" s="701">
        <f t="shared" si="28"/>
        <v>643750</v>
      </c>
      <c r="K19" s="701"/>
      <c r="L19" s="702">
        <f t="shared" si="10"/>
        <v>1</v>
      </c>
      <c r="M19" s="702">
        <f t="shared" si="11"/>
        <v>1.5886287625418061</v>
      </c>
      <c r="N19" s="702">
        <f t="shared" si="12"/>
        <v>1.0320641282565131</v>
      </c>
      <c r="O19" s="759"/>
      <c r="P19" s="587">
        <f t="shared" si="4"/>
        <v>373750</v>
      </c>
      <c r="Q19" s="587">
        <f t="shared" si="4"/>
        <v>0</v>
      </c>
      <c r="R19" s="587">
        <f t="shared" si="4"/>
        <v>250000</v>
      </c>
      <c r="S19" s="587">
        <f t="shared" si="5"/>
        <v>623750</v>
      </c>
      <c r="T19" s="637">
        <f t="shared" si="6"/>
        <v>0</v>
      </c>
      <c r="U19" s="761"/>
      <c r="V19" s="747">
        <f t="shared" si="13"/>
        <v>0</v>
      </c>
      <c r="W19" s="494"/>
    </row>
    <row r="20" spans="1:23" x14ac:dyDescent="0.25">
      <c r="A20" s="500" t="s">
        <v>335</v>
      </c>
      <c r="B20" s="758" t="s">
        <v>336</v>
      </c>
      <c r="C20" s="701">
        <f>+C120</f>
        <v>973831897.25</v>
      </c>
      <c r="D20" s="701">
        <f t="shared" ref="D20:J20" si="29">+D120</f>
        <v>979535997</v>
      </c>
      <c r="E20" s="701">
        <f t="shared" si="29"/>
        <v>979535997</v>
      </c>
      <c r="F20" s="701">
        <f t="shared" si="29"/>
        <v>972297168</v>
      </c>
      <c r="G20" s="759"/>
      <c r="H20" s="701">
        <f t="shared" si="29"/>
        <v>709911777</v>
      </c>
      <c r="I20" s="701">
        <f t="shared" si="29"/>
        <v>830472911</v>
      </c>
      <c r="J20" s="701">
        <f t="shared" si="29"/>
        <v>972215916</v>
      </c>
      <c r="K20" s="701"/>
      <c r="L20" s="702">
        <f t="shared" si="10"/>
        <v>0.72474291825336568</v>
      </c>
      <c r="M20" s="702">
        <f t="shared" si="11"/>
        <v>0.84782275847285682</v>
      </c>
      <c r="N20" s="702">
        <f t="shared" si="12"/>
        <v>0.99991643295622556</v>
      </c>
      <c r="O20" s="759"/>
      <c r="P20" s="701">
        <f t="shared" ref="P20:S20" si="30">+P120</f>
        <v>5704099.75</v>
      </c>
      <c r="Q20" s="701">
        <f t="shared" si="30"/>
        <v>0</v>
      </c>
      <c r="R20" s="701">
        <f t="shared" si="30"/>
        <v>-7238829</v>
      </c>
      <c r="S20" s="701">
        <f t="shared" si="30"/>
        <v>-1534729.25</v>
      </c>
      <c r="T20" s="637">
        <f t="shared" si="6"/>
        <v>-1.5759693786308662E-3</v>
      </c>
      <c r="U20" s="761"/>
      <c r="V20" s="747">
        <f t="shared" si="13"/>
        <v>0</v>
      </c>
      <c r="W20" s="494"/>
    </row>
    <row r="21" spans="1:23" x14ac:dyDescent="0.25">
      <c r="A21" s="500"/>
      <c r="B21" s="758" t="s">
        <v>450</v>
      </c>
      <c r="C21" s="701">
        <f>-C144</f>
        <v>-499153498.25</v>
      </c>
      <c r="D21" s="701">
        <f t="shared" ref="D21:J21" si="31">-D144</f>
        <v>-504857598</v>
      </c>
      <c r="E21" s="701">
        <f t="shared" si="31"/>
        <v>-504857598</v>
      </c>
      <c r="F21" s="701">
        <f t="shared" si="31"/>
        <v>-497618769</v>
      </c>
      <c r="G21" s="701"/>
      <c r="H21" s="701">
        <f t="shared" si="31"/>
        <v>-253233378</v>
      </c>
      <c r="I21" s="701">
        <f t="shared" si="31"/>
        <v>-373794512</v>
      </c>
      <c r="J21" s="701">
        <f t="shared" si="31"/>
        <v>-497618769</v>
      </c>
      <c r="K21" s="701"/>
      <c r="L21" s="702">
        <f t="shared" si="10"/>
        <v>0.50159367513371567</v>
      </c>
      <c r="M21" s="702">
        <f t="shared" si="11"/>
        <v>0.74039593239913959</v>
      </c>
      <c r="N21" s="702">
        <f t="shared" si="12"/>
        <v>1</v>
      </c>
      <c r="O21" s="759"/>
      <c r="P21" s="701">
        <f t="shared" ref="P21:S21" si="32">-P144</f>
        <v>-5704099.75</v>
      </c>
      <c r="Q21" s="701">
        <f t="shared" si="32"/>
        <v>0</v>
      </c>
      <c r="R21" s="701">
        <f t="shared" si="32"/>
        <v>7238829</v>
      </c>
      <c r="S21" s="701">
        <f t="shared" si="32"/>
        <v>1534729.25</v>
      </c>
      <c r="T21" s="637">
        <f t="shared" si="6"/>
        <v>-3.0746639167724193E-3</v>
      </c>
      <c r="U21" s="761"/>
      <c r="V21" s="747">
        <f t="shared" si="13"/>
        <v>0</v>
      </c>
      <c r="W21" s="494"/>
    </row>
    <row r="22" spans="1:23" x14ac:dyDescent="0.25">
      <c r="A22" s="586"/>
      <c r="B22" s="763" t="s">
        <v>379</v>
      </c>
      <c r="C22" s="721">
        <f>SUM(C13:C21)</f>
        <v>1755110245</v>
      </c>
      <c r="D22" s="721">
        <f>SUM(D13:D21)</f>
        <v>1756051845</v>
      </c>
      <c r="E22" s="721">
        <f>SUM(E13:E21)</f>
        <v>1806051845</v>
      </c>
      <c r="F22" s="721">
        <f>SUM(F13:F21)</f>
        <v>1802755197</v>
      </c>
      <c r="G22" s="764"/>
      <c r="H22" s="721">
        <f>SUM(H13:H21)</f>
        <v>1185835049</v>
      </c>
      <c r="I22" s="721">
        <f>SUM(I13:I21)</f>
        <v>1455996002</v>
      </c>
      <c r="J22" s="721">
        <f>SUM(J13:J21)</f>
        <v>1695546244</v>
      </c>
      <c r="K22" s="721"/>
      <c r="L22" s="707">
        <f t="shared" si="10"/>
        <v>0.67528476017175909</v>
      </c>
      <c r="M22" s="707">
        <f t="shared" si="11"/>
        <v>0.8061761936850711</v>
      </c>
      <c r="N22" s="707">
        <f t="shared" si="12"/>
        <v>0.94053049844016068</v>
      </c>
      <c r="O22" s="764"/>
      <c r="P22" s="721">
        <f>SUM(P13:P21)</f>
        <v>941600</v>
      </c>
      <c r="Q22" s="721">
        <f>SUM(Q13:Q21)</f>
        <v>50000000</v>
      </c>
      <c r="R22" s="721">
        <f>SUM(R13:R21)</f>
        <v>-3296648</v>
      </c>
      <c r="S22" s="721">
        <f>SUM(S13:S21)</f>
        <v>47644952</v>
      </c>
      <c r="T22" s="637">
        <f t="shared" si="6"/>
        <v>2.7146415523316599E-2</v>
      </c>
      <c r="U22" s="765"/>
      <c r="V22" s="747">
        <f t="shared" si="13"/>
        <v>0</v>
      </c>
      <c r="W22" s="494"/>
    </row>
    <row r="23" spans="1:23" x14ac:dyDescent="0.25">
      <c r="A23" s="500"/>
      <c r="B23" s="766" t="s">
        <v>417</v>
      </c>
      <c r="C23" s="726"/>
      <c r="D23" s="726"/>
      <c r="E23" s="726"/>
      <c r="F23" s="726"/>
      <c r="G23" s="767"/>
      <c r="H23" s="726"/>
      <c r="I23" s="726"/>
      <c r="J23" s="726"/>
      <c r="K23" s="726"/>
      <c r="L23" s="768"/>
      <c r="M23" s="768"/>
      <c r="N23" s="768"/>
      <c r="O23" s="767"/>
      <c r="P23" s="726"/>
      <c r="Q23" s="726"/>
      <c r="R23" s="726"/>
      <c r="S23" s="726"/>
      <c r="T23" s="637"/>
      <c r="U23" s="769"/>
      <c r="V23" s="747">
        <f t="shared" si="13"/>
        <v>0</v>
      </c>
      <c r="W23" s="494"/>
    </row>
    <row r="24" spans="1:23" x14ac:dyDescent="0.25">
      <c r="A24" s="593"/>
      <c r="B24" s="593"/>
      <c r="C24" s="770"/>
      <c r="D24" s="648"/>
      <c r="E24" s="648"/>
      <c r="F24" s="771"/>
      <c r="G24" s="648"/>
      <c r="H24" s="770"/>
      <c r="I24" s="653"/>
      <c r="J24" s="653"/>
      <c r="K24" s="648"/>
      <c r="L24" s="650"/>
      <c r="M24" s="650"/>
      <c r="N24" s="794"/>
      <c r="O24" s="648"/>
      <c r="P24" s="770"/>
      <c r="Q24" s="647"/>
      <c r="R24" s="647"/>
      <c r="S24" s="647"/>
      <c r="T24" s="774"/>
      <c r="U24" s="648"/>
      <c r="V24" s="494"/>
      <c r="W24" s="494"/>
    </row>
    <row r="25" spans="1:23" x14ac:dyDescent="0.25">
      <c r="A25" s="593"/>
      <c r="B25" s="593"/>
      <c r="C25" s="770"/>
      <c r="D25" s="648"/>
      <c r="E25" s="648"/>
      <c r="F25" s="771"/>
      <c r="G25" s="648"/>
      <c r="H25" s="770"/>
      <c r="I25" s="648"/>
      <c r="J25" s="653"/>
      <c r="K25" s="648"/>
      <c r="L25" s="650"/>
      <c r="M25" s="650"/>
      <c r="N25" s="794"/>
      <c r="O25" s="648"/>
      <c r="P25" s="770"/>
      <c r="Q25" s="647"/>
      <c r="R25" s="647"/>
      <c r="S25" s="647"/>
      <c r="T25" s="774"/>
      <c r="U25" s="648"/>
      <c r="V25" s="494"/>
      <c r="W25" s="494"/>
    </row>
    <row r="26" spans="1:23" x14ac:dyDescent="0.25">
      <c r="A26" s="593"/>
      <c r="B26" s="593"/>
      <c r="C26" s="770"/>
      <c r="D26" s="648"/>
      <c r="E26" s="648"/>
      <c r="F26" s="771"/>
      <c r="G26" s="648"/>
      <c r="H26" s="770"/>
      <c r="I26" s="647"/>
      <c r="J26" s="653"/>
      <c r="K26" s="648"/>
      <c r="L26" s="650"/>
      <c r="M26" s="650"/>
      <c r="N26" s="794"/>
      <c r="O26" s="648"/>
      <c r="P26" s="770"/>
      <c r="Q26" s="647"/>
      <c r="R26" s="647"/>
      <c r="S26" s="647"/>
      <c r="T26" s="774"/>
      <c r="U26" s="648"/>
      <c r="V26" s="494"/>
      <c r="W26" s="494"/>
    </row>
    <row r="27" spans="1:23" x14ac:dyDescent="0.25">
      <c r="A27" s="656" t="s">
        <v>242</v>
      </c>
      <c r="B27" s="656" t="str">
        <f>+B13</f>
        <v>Működési célú tám-ok államháztartáson belülről</v>
      </c>
      <c r="C27" s="770"/>
      <c r="D27" s="648"/>
      <c r="E27" s="648"/>
      <c r="F27" s="771"/>
      <c r="G27" s="648"/>
      <c r="H27" s="770"/>
      <c r="I27" s="653"/>
      <c r="J27" s="653"/>
      <c r="K27" s="648"/>
      <c r="L27" s="650"/>
      <c r="M27" s="650"/>
      <c r="N27" s="794"/>
      <c r="O27" s="648"/>
      <c r="P27" s="770"/>
      <c r="Q27" s="647"/>
      <c r="R27" s="647"/>
      <c r="S27" s="647"/>
      <c r="T27" s="774"/>
      <c r="U27" s="648"/>
      <c r="V27" s="494"/>
      <c r="W27" s="494"/>
    </row>
    <row r="28" spans="1:23" x14ac:dyDescent="0.25">
      <c r="A28" s="593"/>
      <c r="B28" s="593" t="str">
        <f>+'3. Önk. Kiadások'!A1</f>
        <v>Sülysáp Város Önkormányzata</v>
      </c>
      <c r="C28" s="770">
        <f>+' 2. Önk. Bevételek'!C13</f>
        <v>617137846</v>
      </c>
      <c r="D28" s="647">
        <f>+' 2. Önk. Bevételek'!D13</f>
        <v>600347025</v>
      </c>
      <c r="E28" s="647">
        <f>+' 2. Önk. Bevételek'!E13</f>
        <v>606967468</v>
      </c>
      <c r="F28" s="775">
        <f>+' 2. Önk. Bevételek'!F13</f>
        <v>620873897</v>
      </c>
      <c r="G28" s="647">
        <f>+'3. Önk. Kiadások'!G13</f>
        <v>0</v>
      </c>
      <c r="H28" s="770">
        <f>+' 2. Önk. Bevételek'!H13</f>
        <v>311587916</v>
      </c>
      <c r="I28" s="647">
        <f>+' 2. Önk. Bevételek'!I13</f>
        <v>479165852</v>
      </c>
      <c r="J28" s="647">
        <f>+' 2. Önk. Bevételek'!J13</f>
        <v>620873897</v>
      </c>
      <c r="K28" s="647"/>
      <c r="L28" s="658">
        <f t="shared" ref="L28:L91" si="33">IF(D28=0,0,H28/D28)</f>
        <v>0.5190130091841465</v>
      </c>
      <c r="M28" s="658">
        <f t="shared" ref="M28:M91" si="34">IF(E28=0,0,I28/E28)</f>
        <v>0.78944239561781593</v>
      </c>
      <c r="N28" s="794">
        <f t="shared" ref="N28:N91" si="35">IF(F28=0,0,J28/F28)</f>
        <v>1</v>
      </c>
      <c r="O28" s="647"/>
      <c r="P28" s="770">
        <f>+' 2. Önk. Bevételek'!P13</f>
        <v>-16790821</v>
      </c>
      <c r="Q28" s="647">
        <f>+' 2. Önk. Bevételek'!Q13</f>
        <v>6620443</v>
      </c>
      <c r="R28" s="647">
        <f>+' 2. Önk. Bevételek'!R13</f>
        <v>13906429</v>
      </c>
      <c r="S28" s="647">
        <f>+' 2. Önk. Bevételek'!S13</f>
        <v>3736051</v>
      </c>
      <c r="T28" s="778">
        <f t="shared" ref="T28:T36" si="36">IF(C28=0,0,+S28/C28)</f>
        <v>6.0538354991763058E-3</v>
      </c>
      <c r="U28" s="648"/>
      <c r="V28" s="494"/>
      <c r="W28" s="494"/>
    </row>
    <row r="29" spans="1:23" x14ac:dyDescent="0.25">
      <c r="A29" s="593"/>
      <c r="B29" s="655" t="str">
        <f>+'4. Dr Gáspár HSZK'!A1</f>
        <v>Dr. Gáspár István HSZK</v>
      </c>
      <c r="C29" s="770">
        <f>+'4. Dr Gáspár HSZK'!C93</f>
        <v>0</v>
      </c>
      <c r="D29" s="647">
        <f>+'4. Dr Gáspár HSZK'!D93</f>
        <v>0</v>
      </c>
      <c r="E29" s="647">
        <f>+'4. Dr Gáspár HSZK'!E93</f>
        <v>0</v>
      </c>
      <c r="F29" s="775">
        <f>+'4. Dr Gáspár HSZK'!F93</f>
        <v>0</v>
      </c>
      <c r="G29" s="647"/>
      <c r="H29" s="770">
        <f>+'4. Dr Gáspár HSZK'!H93</f>
        <v>0</v>
      </c>
      <c r="I29" s="647">
        <f>+'4. Dr Gáspár HSZK'!I93</f>
        <v>0</v>
      </c>
      <c r="J29" s="647">
        <f>+'4. Dr Gáspár HSZK'!J93</f>
        <v>0</v>
      </c>
      <c r="K29" s="647"/>
      <c r="L29" s="658">
        <f t="shared" si="33"/>
        <v>0</v>
      </c>
      <c r="M29" s="658">
        <f t="shared" si="34"/>
        <v>0</v>
      </c>
      <c r="N29" s="794">
        <f t="shared" si="35"/>
        <v>0</v>
      </c>
      <c r="O29" s="647"/>
      <c r="P29" s="770">
        <f>+'4. Dr Gáspár HSZK'!P93</f>
        <v>0</v>
      </c>
      <c r="Q29" s="647">
        <f>+'4. Dr Gáspár HSZK'!Q93</f>
        <v>0</v>
      </c>
      <c r="R29" s="647">
        <f>+'4. Dr Gáspár HSZK'!R93</f>
        <v>0</v>
      </c>
      <c r="S29" s="647">
        <f>+'4. Dr Gáspár HSZK'!S93</f>
        <v>0</v>
      </c>
      <c r="T29" s="778">
        <f t="shared" si="36"/>
        <v>0</v>
      </c>
      <c r="U29" s="648"/>
      <c r="V29" s="494"/>
      <c r="W29" s="494"/>
    </row>
    <row r="30" spans="1:23" x14ac:dyDescent="0.25">
      <c r="A30" s="593"/>
      <c r="B30" s="655" t="str">
        <f>+'5. Csicsergő'!A1</f>
        <v>SÜLYSÁPI CSICSERGŐ ÓVODA</v>
      </c>
      <c r="C30" s="770">
        <f>+'5. Csicsergő'!C93</f>
        <v>0</v>
      </c>
      <c r="D30" s="647">
        <f>+'5. Csicsergő'!D93</f>
        <v>0</v>
      </c>
      <c r="E30" s="647">
        <f>+'5. Csicsergő'!E93</f>
        <v>0</v>
      </c>
      <c r="F30" s="775">
        <f>+'5. Csicsergő'!F93</f>
        <v>0</v>
      </c>
      <c r="G30" s="647"/>
      <c r="H30" s="770">
        <f>+'5. Csicsergő'!H93</f>
        <v>0</v>
      </c>
      <c r="I30" s="647">
        <f>+'5. Csicsergő'!I93</f>
        <v>0</v>
      </c>
      <c r="J30" s="647">
        <f>+'5. Csicsergő'!J93</f>
        <v>0</v>
      </c>
      <c r="K30" s="647"/>
      <c r="L30" s="658">
        <f t="shared" si="33"/>
        <v>0</v>
      </c>
      <c r="M30" s="658">
        <f t="shared" si="34"/>
        <v>0</v>
      </c>
      <c r="N30" s="794">
        <f t="shared" si="35"/>
        <v>0</v>
      </c>
      <c r="O30" s="647"/>
      <c r="P30" s="770">
        <f>+'5. Csicsergő'!P93</f>
        <v>0</v>
      </c>
      <c r="Q30" s="647">
        <f>+'5. Csicsergő'!Q93</f>
        <v>0</v>
      </c>
      <c r="R30" s="647">
        <f>+'5. Csicsergő'!R93</f>
        <v>0</v>
      </c>
      <c r="S30" s="647">
        <f>+'5. Csicsergő'!S93</f>
        <v>0</v>
      </c>
      <c r="T30" s="778">
        <f t="shared" si="36"/>
        <v>0</v>
      </c>
      <c r="U30" s="648"/>
      <c r="V30" s="494"/>
      <c r="W30" s="494"/>
    </row>
    <row r="31" spans="1:23" x14ac:dyDescent="0.25">
      <c r="A31" s="593"/>
      <c r="B31" s="593" t="str">
        <f>+'6. Gólyahír'!A1</f>
        <v>GÓLYAHÍR BÖLCSŐDE</v>
      </c>
      <c r="C31" s="770">
        <f>+'6. Gólyahír'!C93</f>
        <v>0</v>
      </c>
      <c r="D31" s="647">
        <f>+'6. Gólyahír'!D93</f>
        <v>0</v>
      </c>
      <c r="E31" s="647">
        <f>+'6. Gólyahír'!E93</f>
        <v>0</v>
      </c>
      <c r="F31" s="775">
        <f>+'6. Gólyahír'!F93</f>
        <v>0</v>
      </c>
      <c r="G31" s="647"/>
      <c r="H31" s="770">
        <f>+'6. Gólyahír'!H93</f>
        <v>0</v>
      </c>
      <c r="I31" s="647">
        <f>+'6. Gólyahír'!I93</f>
        <v>0</v>
      </c>
      <c r="J31" s="647">
        <f>+'6. Gólyahír'!J93</f>
        <v>0</v>
      </c>
      <c r="K31" s="647"/>
      <c r="L31" s="658">
        <f t="shared" si="33"/>
        <v>0</v>
      </c>
      <c r="M31" s="658">
        <f t="shared" si="34"/>
        <v>0</v>
      </c>
      <c r="N31" s="794">
        <f t="shared" si="35"/>
        <v>0</v>
      </c>
      <c r="O31" s="647"/>
      <c r="P31" s="770">
        <f>+'6. Gólyahír'!P93</f>
        <v>0</v>
      </c>
      <c r="Q31" s="647">
        <f>+'6. Gólyahír'!Q93</f>
        <v>0</v>
      </c>
      <c r="R31" s="647">
        <f>+'6. Gólyahír'!R93</f>
        <v>0</v>
      </c>
      <c r="S31" s="647">
        <f>+'6. Gólyahír'!S93</f>
        <v>0</v>
      </c>
      <c r="T31" s="778">
        <f t="shared" si="36"/>
        <v>0</v>
      </c>
      <c r="U31" s="648"/>
      <c r="V31" s="494"/>
      <c r="W31" s="494"/>
    </row>
    <row r="32" spans="1:23" x14ac:dyDescent="0.25">
      <c r="A32" s="593"/>
      <c r="B32" s="647" t="str">
        <f>+'7. Polg.Hiv.'!A1</f>
        <v>POLGÁRMESTERI HIVATAL</v>
      </c>
      <c r="C32" s="770">
        <f>+'7. Polg.Hiv.'!C93</f>
        <v>0</v>
      </c>
      <c r="D32" s="647">
        <f>+'7. Polg.Hiv.'!D93</f>
        <v>0</v>
      </c>
      <c r="E32" s="647">
        <f>+'7. Polg.Hiv.'!E93</f>
        <v>0</v>
      </c>
      <c r="F32" s="775">
        <f>+'7. Polg.Hiv.'!F93</f>
        <v>2275277</v>
      </c>
      <c r="G32" s="647"/>
      <c r="H32" s="770">
        <f>+'7. Polg.Hiv.'!H93</f>
        <v>2275277</v>
      </c>
      <c r="I32" s="647">
        <f>+'7. Polg.Hiv.'!I93</f>
        <v>2275277</v>
      </c>
      <c r="J32" s="647">
        <f>+'7. Polg.Hiv.'!J93</f>
        <v>2275277</v>
      </c>
      <c r="K32" s="647"/>
      <c r="L32" s="658">
        <f t="shared" si="33"/>
        <v>0</v>
      </c>
      <c r="M32" s="658">
        <f t="shared" si="34"/>
        <v>0</v>
      </c>
      <c r="N32" s="794">
        <f t="shared" si="35"/>
        <v>1</v>
      </c>
      <c r="O32" s="647"/>
      <c r="P32" s="770">
        <f>+'7. Polg.Hiv.'!P93</f>
        <v>0</v>
      </c>
      <c r="Q32" s="647">
        <f>+'7. Polg.Hiv.'!Q93</f>
        <v>0</v>
      </c>
      <c r="R32" s="647">
        <f>+'7. Polg.Hiv.'!R93</f>
        <v>2275277</v>
      </c>
      <c r="S32" s="647">
        <f>+'7. Polg.Hiv.'!S93</f>
        <v>2275277</v>
      </c>
      <c r="T32" s="778">
        <f t="shared" si="36"/>
        <v>0</v>
      </c>
      <c r="U32" s="648"/>
      <c r="V32" s="494"/>
      <c r="W32" s="494"/>
    </row>
    <row r="33" spans="1:23" x14ac:dyDescent="0.25">
      <c r="A33" s="593"/>
      <c r="B33" s="647" t="str">
        <f>+'8. WAMKK'!A1</f>
        <v>Wass Albert Művelődési Központ és Könyvtár</v>
      </c>
      <c r="C33" s="770">
        <f>+'8. WAMKK'!C93</f>
        <v>0</v>
      </c>
      <c r="D33" s="647">
        <f>+'8. WAMKK'!D93</f>
        <v>0</v>
      </c>
      <c r="E33" s="647">
        <f>+'8. WAMKK'!E93</f>
        <v>0</v>
      </c>
      <c r="F33" s="775">
        <f>+'8. WAMKK'!F93</f>
        <v>0</v>
      </c>
      <c r="G33" s="647"/>
      <c r="H33" s="770">
        <f>+'8. WAMKK'!H93</f>
        <v>0</v>
      </c>
      <c r="I33" s="647">
        <f>+'8. WAMKK'!I93</f>
        <v>0</v>
      </c>
      <c r="J33" s="647">
        <f>+'8. WAMKK'!J93</f>
        <v>0</v>
      </c>
      <c r="K33" s="647"/>
      <c r="L33" s="658">
        <f t="shared" si="33"/>
        <v>0</v>
      </c>
      <c r="M33" s="658">
        <f t="shared" si="34"/>
        <v>0</v>
      </c>
      <c r="N33" s="794">
        <f t="shared" si="35"/>
        <v>0</v>
      </c>
      <c r="O33" s="647"/>
      <c r="P33" s="770">
        <f>+'8. WAMKK'!P93</f>
        <v>0</v>
      </c>
      <c r="Q33" s="647">
        <f>+'8. WAMKK'!Q93</f>
        <v>0</v>
      </c>
      <c r="R33" s="647">
        <f>+'8. WAMKK'!R93</f>
        <v>0</v>
      </c>
      <c r="S33" s="647">
        <f>+'8. WAMKK'!S93</f>
        <v>0</v>
      </c>
      <c r="T33" s="778">
        <f t="shared" si="36"/>
        <v>0</v>
      </c>
      <c r="U33" s="648"/>
      <c r="V33" s="494"/>
      <c r="W33" s="494"/>
    </row>
    <row r="34" spans="1:23" x14ac:dyDescent="0.25">
      <c r="A34" s="593"/>
      <c r="B34" s="647" t="str">
        <f>+'9. Közp. Konyha'!A1</f>
        <v>Központi Konyha</v>
      </c>
      <c r="C34" s="770">
        <f>+'9. Közp. Konyha'!C93</f>
        <v>0</v>
      </c>
      <c r="D34" s="647">
        <f>+'9. Közp. Konyha'!D93</f>
        <v>0</v>
      </c>
      <c r="E34" s="647">
        <f>+'9. Közp. Konyha'!E93</f>
        <v>0</v>
      </c>
      <c r="F34" s="775">
        <f>+'9. Közp. Konyha'!F93</f>
        <v>0</v>
      </c>
      <c r="G34" s="647"/>
      <c r="H34" s="770">
        <f>+'9. Közp. Konyha'!H93</f>
        <v>0</v>
      </c>
      <c r="I34" s="647">
        <f>+'9. Közp. Konyha'!I93</f>
        <v>0</v>
      </c>
      <c r="J34" s="647">
        <f>+'9. Közp. Konyha'!J93</f>
        <v>0</v>
      </c>
      <c r="K34" s="647"/>
      <c r="L34" s="658">
        <f t="shared" si="33"/>
        <v>0</v>
      </c>
      <c r="M34" s="658">
        <f t="shared" si="34"/>
        <v>0</v>
      </c>
      <c r="N34" s="794">
        <f t="shared" si="35"/>
        <v>0</v>
      </c>
      <c r="O34" s="647"/>
      <c r="P34" s="770">
        <f>+'9. Közp. Konyha'!P93</f>
        <v>0</v>
      </c>
      <c r="Q34" s="647">
        <f>+'9. Közp. Konyha'!Q93</f>
        <v>0</v>
      </c>
      <c r="R34" s="647">
        <f>+'9. Közp. Konyha'!R93</f>
        <v>0</v>
      </c>
      <c r="S34" s="647">
        <f>+'9. Közp. Konyha'!S93</f>
        <v>0</v>
      </c>
      <c r="T34" s="778">
        <f t="shared" si="36"/>
        <v>0</v>
      </c>
      <c r="U34" s="648"/>
      <c r="V34" s="494"/>
      <c r="W34" s="494"/>
    </row>
    <row r="35" spans="1:23" ht="8.1" customHeight="1" x14ac:dyDescent="0.25">
      <c r="A35" s="593"/>
      <c r="B35" s="779" t="s">
        <v>455</v>
      </c>
      <c r="C35" s="780"/>
      <c r="D35" s="781"/>
      <c r="E35" s="781"/>
      <c r="F35" s="782"/>
      <c r="G35" s="781"/>
      <c r="H35" s="780"/>
      <c r="I35" s="781"/>
      <c r="J35" s="781"/>
      <c r="K35" s="781"/>
      <c r="L35" s="806"/>
      <c r="M35" s="806"/>
      <c r="N35" s="807"/>
      <c r="O35" s="781"/>
      <c r="P35" s="780"/>
      <c r="Q35" s="781"/>
      <c r="R35" s="781"/>
      <c r="S35" s="781"/>
      <c r="T35" s="785"/>
      <c r="U35" s="648"/>
      <c r="V35" s="494"/>
      <c r="W35" s="494"/>
    </row>
    <row r="36" spans="1:23" x14ac:dyDescent="0.25">
      <c r="A36" s="786" t="str">
        <f>+A27</f>
        <v>B1</v>
      </c>
      <c r="B36" s="787" t="s">
        <v>449</v>
      </c>
      <c r="C36" s="788">
        <f>SUM(C28:C35)</f>
        <v>617137846</v>
      </c>
      <c r="D36" s="789">
        <f t="shared" ref="D36" si="37">SUM(D28:D35)</f>
        <v>600347025</v>
      </c>
      <c r="E36" s="789">
        <f t="shared" ref="E36" si="38">SUM(E28:E35)</f>
        <v>606967468</v>
      </c>
      <c r="F36" s="790">
        <f t="shared" ref="F36" si="39">SUM(F28:F35)</f>
        <v>623149174</v>
      </c>
      <c r="G36" s="789"/>
      <c r="H36" s="788">
        <f>SUM(H28:H35)</f>
        <v>313863193</v>
      </c>
      <c r="I36" s="789">
        <f t="shared" ref="I36" si="40">SUM(I28:I35)</f>
        <v>481441129</v>
      </c>
      <c r="J36" s="789">
        <f t="shared" ref="J36" si="41">SUM(J28:J35)</f>
        <v>623149174</v>
      </c>
      <c r="K36" s="789"/>
      <c r="L36" s="791">
        <f t="shared" si="33"/>
        <v>0.52280294551305551</v>
      </c>
      <c r="M36" s="791">
        <f t="shared" si="34"/>
        <v>0.79319099355749989</v>
      </c>
      <c r="N36" s="792">
        <f t="shared" si="35"/>
        <v>1</v>
      </c>
      <c r="O36" s="789"/>
      <c r="P36" s="788">
        <f>SUM(P28:P35)</f>
        <v>-16790821</v>
      </c>
      <c r="Q36" s="789">
        <f t="shared" ref="Q36" si="42">SUM(Q28:Q35)</f>
        <v>6620443</v>
      </c>
      <c r="R36" s="789">
        <f t="shared" ref="R36" si="43">SUM(R28:R35)</f>
        <v>16181706</v>
      </c>
      <c r="S36" s="789">
        <f t="shared" ref="S36" si="44">SUM(S28:S35)</f>
        <v>6011328</v>
      </c>
      <c r="T36" s="793">
        <f t="shared" si="36"/>
        <v>9.7406568710096571E-3</v>
      </c>
      <c r="U36" s="648"/>
      <c r="V36" s="494"/>
      <c r="W36" s="494"/>
    </row>
    <row r="37" spans="1:23" x14ac:dyDescent="0.25">
      <c r="A37" s="593"/>
      <c r="B37" s="593"/>
      <c r="C37" s="770"/>
      <c r="D37" s="648"/>
      <c r="E37" s="648"/>
      <c r="F37" s="771"/>
      <c r="G37" s="648"/>
      <c r="H37" s="770"/>
      <c r="I37" s="653"/>
      <c r="J37" s="653"/>
      <c r="K37" s="648"/>
      <c r="L37" s="650"/>
      <c r="M37" s="650"/>
      <c r="N37" s="794"/>
      <c r="O37" s="648"/>
      <c r="P37" s="770"/>
      <c r="Q37" s="647"/>
      <c r="R37" s="647"/>
      <c r="S37" s="647"/>
      <c r="T37" s="794"/>
      <c r="U37" s="648"/>
      <c r="V37" s="494"/>
      <c r="W37" s="494"/>
    </row>
    <row r="38" spans="1:23" x14ac:dyDescent="0.25">
      <c r="A38" s="593"/>
      <c r="B38" s="593"/>
      <c r="C38" s="770"/>
      <c r="D38" s="648"/>
      <c r="E38" s="648"/>
      <c r="F38" s="771"/>
      <c r="G38" s="648"/>
      <c r="H38" s="770"/>
      <c r="I38" s="653"/>
      <c r="J38" s="653"/>
      <c r="K38" s="648"/>
      <c r="L38" s="650"/>
      <c r="M38" s="650"/>
      <c r="N38" s="794"/>
      <c r="O38" s="648"/>
      <c r="P38" s="770"/>
      <c r="Q38" s="647"/>
      <c r="R38" s="647"/>
      <c r="S38" s="647"/>
      <c r="T38" s="794"/>
      <c r="U38" s="648"/>
      <c r="V38" s="494"/>
      <c r="W38" s="494"/>
    </row>
    <row r="39" spans="1:23" x14ac:dyDescent="0.25">
      <c r="A39" s="656" t="s">
        <v>263</v>
      </c>
      <c r="B39" s="656" t="str">
        <f>+B14</f>
        <v>Felhalmozási célú tám-ok államházt-on belülről</v>
      </c>
      <c r="C39" s="770"/>
      <c r="D39" s="648"/>
      <c r="E39" s="648"/>
      <c r="F39" s="771"/>
      <c r="G39" s="648"/>
      <c r="H39" s="770"/>
      <c r="I39" s="653"/>
      <c r="J39" s="653"/>
      <c r="K39" s="648"/>
      <c r="L39" s="650"/>
      <c r="M39" s="650"/>
      <c r="N39" s="794"/>
      <c r="O39" s="648"/>
      <c r="P39" s="770"/>
      <c r="Q39" s="647"/>
      <c r="R39" s="647"/>
      <c r="S39" s="647"/>
      <c r="T39" s="794"/>
      <c r="U39" s="648"/>
      <c r="V39" s="494"/>
      <c r="W39" s="494"/>
    </row>
    <row r="40" spans="1:23" x14ac:dyDescent="0.25">
      <c r="A40" s="593"/>
      <c r="B40" s="655" t="str">
        <f t="shared" ref="B40:B46" si="45">+B28</f>
        <v>Sülysáp Város Önkormányzata</v>
      </c>
      <c r="C40" s="770">
        <f>+' 2. Önk. Bevételek'!C30</f>
        <v>262000000</v>
      </c>
      <c r="D40" s="647">
        <f>+' 2. Önk. Bevételek'!D30</f>
        <v>265315728</v>
      </c>
      <c r="E40" s="647">
        <f>+' 2. Önk. Bevételek'!E30</f>
        <v>265315728</v>
      </c>
      <c r="F40" s="775">
        <f>+' 2. Önk. Bevételek'!F30</f>
        <v>220578157</v>
      </c>
      <c r="G40" s="648"/>
      <c r="H40" s="770">
        <f>+' 2. Önk. Bevételek'!H30</f>
        <v>215315728</v>
      </c>
      <c r="I40" s="647">
        <f>+' 2. Önk. Bevételek'!I30</f>
        <v>218778157</v>
      </c>
      <c r="J40" s="647">
        <f>+' 2. Önk. Bevételek'!J30</f>
        <v>220578157</v>
      </c>
      <c r="K40" s="648"/>
      <c r="L40" s="776">
        <f t="shared" si="33"/>
        <v>0.81154528464290665</v>
      </c>
      <c r="M40" s="776">
        <f t="shared" si="34"/>
        <v>0.82459550607568954</v>
      </c>
      <c r="N40" s="794">
        <f t="shared" si="35"/>
        <v>1</v>
      </c>
      <c r="O40" s="648"/>
      <c r="P40" s="770">
        <f>+' 2. Önk. Bevételek'!P30</f>
        <v>3315728</v>
      </c>
      <c r="Q40" s="647">
        <f>+' 2. Önk. Bevételek'!Q30</f>
        <v>0</v>
      </c>
      <c r="R40" s="647">
        <f>+' 2. Önk. Bevételek'!R30</f>
        <v>-44737571</v>
      </c>
      <c r="S40" s="647">
        <f>+' 2. Önk. Bevételek'!S30</f>
        <v>-41421843</v>
      </c>
      <c r="T40" s="778">
        <f t="shared" ref="T40:T48" si="46">IF(C40=0,0,+S40/C40)</f>
        <v>-0.15809863740458016</v>
      </c>
      <c r="U40" s="648"/>
      <c r="V40" s="494"/>
      <c r="W40" s="494"/>
    </row>
    <row r="41" spans="1:23" x14ac:dyDescent="0.25">
      <c r="A41" s="593"/>
      <c r="B41" s="655" t="str">
        <f t="shared" si="45"/>
        <v>Dr. Gáspár István HSZK</v>
      </c>
      <c r="C41" s="770"/>
      <c r="D41" s="647"/>
      <c r="E41" s="647"/>
      <c r="F41" s="775"/>
      <c r="G41" s="647"/>
      <c r="H41" s="770"/>
      <c r="I41" s="647"/>
      <c r="J41" s="647"/>
      <c r="K41" s="647"/>
      <c r="L41" s="658">
        <f t="shared" si="33"/>
        <v>0</v>
      </c>
      <c r="M41" s="658">
        <f t="shared" si="34"/>
        <v>0</v>
      </c>
      <c r="N41" s="794">
        <f t="shared" si="35"/>
        <v>0</v>
      </c>
      <c r="O41" s="647"/>
      <c r="P41" s="770"/>
      <c r="Q41" s="647"/>
      <c r="R41" s="647"/>
      <c r="S41" s="647"/>
      <c r="T41" s="778">
        <f t="shared" si="46"/>
        <v>0</v>
      </c>
      <c r="U41" s="648"/>
      <c r="V41" s="494"/>
      <c r="W41" s="494"/>
    </row>
    <row r="42" spans="1:23" x14ac:dyDescent="0.25">
      <c r="A42" s="593"/>
      <c r="B42" s="655" t="str">
        <f t="shared" si="45"/>
        <v>SÜLYSÁPI CSICSERGŐ ÓVODA</v>
      </c>
      <c r="C42" s="770"/>
      <c r="D42" s="647"/>
      <c r="E42" s="647"/>
      <c r="F42" s="775"/>
      <c r="G42" s="647"/>
      <c r="H42" s="770"/>
      <c r="I42" s="647"/>
      <c r="J42" s="647"/>
      <c r="K42" s="647"/>
      <c r="L42" s="658">
        <f t="shared" si="33"/>
        <v>0</v>
      </c>
      <c r="M42" s="658">
        <f t="shared" si="34"/>
        <v>0</v>
      </c>
      <c r="N42" s="794">
        <f t="shared" si="35"/>
        <v>0</v>
      </c>
      <c r="O42" s="647"/>
      <c r="P42" s="770"/>
      <c r="Q42" s="647"/>
      <c r="R42" s="647"/>
      <c r="S42" s="647"/>
      <c r="T42" s="778">
        <f t="shared" si="46"/>
        <v>0</v>
      </c>
      <c r="U42" s="648"/>
      <c r="V42" s="494"/>
      <c r="W42" s="494"/>
    </row>
    <row r="43" spans="1:23" x14ac:dyDescent="0.25">
      <c r="A43" s="593"/>
      <c r="B43" s="655" t="str">
        <f t="shared" si="45"/>
        <v>GÓLYAHÍR BÖLCSŐDE</v>
      </c>
      <c r="C43" s="770"/>
      <c r="D43" s="647"/>
      <c r="E43" s="647"/>
      <c r="F43" s="775"/>
      <c r="G43" s="647"/>
      <c r="H43" s="770"/>
      <c r="I43" s="647"/>
      <c r="J43" s="647"/>
      <c r="K43" s="647"/>
      <c r="L43" s="658">
        <f t="shared" si="33"/>
        <v>0</v>
      </c>
      <c r="M43" s="658">
        <f t="shared" si="34"/>
        <v>0</v>
      </c>
      <c r="N43" s="794">
        <f t="shared" si="35"/>
        <v>0</v>
      </c>
      <c r="O43" s="647"/>
      <c r="P43" s="770"/>
      <c r="Q43" s="647"/>
      <c r="R43" s="647"/>
      <c r="S43" s="647"/>
      <c r="T43" s="778">
        <f t="shared" si="46"/>
        <v>0</v>
      </c>
      <c r="U43" s="648"/>
      <c r="V43" s="494"/>
      <c r="W43" s="494"/>
    </row>
    <row r="44" spans="1:23" x14ac:dyDescent="0.25">
      <c r="A44" s="593"/>
      <c r="B44" s="655" t="str">
        <f t="shared" si="45"/>
        <v>POLGÁRMESTERI HIVATAL</v>
      </c>
      <c r="C44" s="770"/>
      <c r="D44" s="647"/>
      <c r="E44" s="647"/>
      <c r="F44" s="775"/>
      <c r="G44" s="647"/>
      <c r="H44" s="770"/>
      <c r="I44" s="647"/>
      <c r="J44" s="647"/>
      <c r="K44" s="647"/>
      <c r="L44" s="658">
        <f t="shared" si="33"/>
        <v>0</v>
      </c>
      <c r="M44" s="658">
        <f t="shared" si="34"/>
        <v>0</v>
      </c>
      <c r="N44" s="794">
        <f t="shared" si="35"/>
        <v>0</v>
      </c>
      <c r="O44" s="647"/>
      <c r="P44" s="770"/>
      <c r="Q44" s="647"/>
      <c r="R44" s="647"/>
      <c r="S44" s="647"/>
      <c r="T44" s="778">
        <f t="shared" si="46"/>
        <v>0</v>
      </c>
      <c r="U44" s="648"/>
      <c r="V44" s="494"/>
      <c r="W44" s="494"/>
    </row>
    <row r="45" spans="1:23" x14ac:dyDescent="0.25">
      <c r="A45" s="593"/>
      <c r="B45" s="655" t="str">
        <f t="shared" si="45"/>
        <v>Wass Albert Művelődési Központ és Könyvtár</v>
      </c>
      <c r="C45" s="770"/>
      <c r="D45" s="647"/>
      <c r="E45" s="647"/>
      <c r="F45" s="775"/>
      <c r="G45" s="647"/>
      <c r="H45" s="770"/>
      <c r="I45" s="647"/>
      <c r="J45" s="647"/>
      <c r="K45" s="647"/>
      <c r="L45" s="658">
        <f t="shared" si="33"/>
        <v>0</v>
      </c>
      <c r="M45" s="658">
        <f t="shared" si="34"/>
        <v>0</v>
      </c>
      <c r="N45" s="794">
        <f t="shared" si="35"/>
        <v>0</v>
      </c>
      <c r="O45" s="647"/>
      <c r="P45" s="770"/>
      <c r="Q45" s="647"/>
      <c r="R45" s="647"/>
      <c r="S45" s="647"/>
      <c r="T45" s="778">
        <f t="shared" si="46"/>
        <v>0</v>
      </c>
      <c r="U45" s="648"/>
      <c r="V45" s="494"/>
      <c r="W45" s="494"/>
    </row>
    <row r="46" spans="1:23" x14ac:dyDescent="0.25">
      <c r="A46" s="593"/>
      <c r="B46" s="655" t="str">
        <f t="shared" si="45"/>
        <v>Központi Konyha</v>
      </c>
      <c r="C46" s="770"/>
      <c r="D46" s="647"/>
      <c r="E46" s="647"/>
      <c r="F46" s="775"/>
      <c r="G46" s="647"/>
      <c r="H46" s="770"/>
      <c r="I46" s="647"/>
      <c r="J46" s="647"/>
      <c r="K46" s="647"/>
      <c r="L46" s="658">
        <f t="shared" si="33"/>
        <v>0</v>
      </c>
      <c r="M46" s="658">
        <f t="shared" si="34"/>
        <v>0</v>
      </c>
      <c r="N46" s="794">
        <f t="shared" si="35"/>
        <v>0</v>
      </c>
      <c r="O46" s="647"/>
      <c r="P46" s="770"/>
      <c r="Q46" s="647"/>
      <c r="R46" s="647"/>
      <c r="S46" s="647"/>
      <c r="T46" s="778">
        <f t="shared" si="46"/>
        <v>0</v>
      </c>
      <c r="U46" s="648"/>
      <c r="V46" s="494"/>
      <c r="W46" s="494"/>
    </row>
    <row r="47" spans="1:23" ht="8.1" customHeight="1" x14ac:dyDescent="0.25">
      <c r="A47" s="593"/>
      <c r="B47" s="779" t="s">
        <v>455</v>
      </c>
      <c r="C47" s="780"/>
      <c r="D47" s="781"/>
      <c r="E47" s="781"/>
      <c r="F47" s="782"/>
      <c r="G47" s="781"/>
      <c r="H47" s="780"/>
      <c r="I47" s="781"/>
      <c r="J47" s="781"/>
      <c r="K47" s="781"/>
      <c r="L47" s="806"/>
      <c r="M47" s="806"/>
      <c r="N47" s="807"/>
      <c r="O47" s="781"/>
      <c r="P47" s="780"/>
      <c r="Q47" s="781"/>
      <c r="R47" s="781"/>
      <c r="S47" s="781"/>
      <c r="T47" s="785"/>
      <c r="U47" s="648"/>
      <c r="V47" s="494"/>
      <c r="W47" s="494"/>
    </row>
    <row r="48" spans="1:23" x14ac:dyDescent="0.25">
      <c r="A48" s="786" t="str">
        <f>+A39</f>
        <v>B2</v>
      </c>
      <c r="B48" s="787" t="s">
        <v>449</v>
      </c>
      <c r="C48" s="788">
        <f>SUM(C40:C47)</f>
        <v>262000000</v>
      </c>
      <c r="D48" s="789">
        <f t="shared" ref="D48" si="47">SUM(D40:D47)</f>
        <v>265315728</v>
      </c>
      <c r="E48" s="789">
        <f t="shared" ref="E48" si="48">SUM(E40:E47)</f>
        <v>265315728</v>
      </c>
      <c r="F48" s="790">
        <f t="shared" ref="F48" si="49">SUM(F40:F47)</f>
        <v>220578157</v>
      </c>
      <c r="G48" s="789"/>
      <c r="H48" s="788">
        <f>SUM(H40:H47)</f>
        <v>215315728</v>
      </c>
      <c r="I48" s="789">
        <f t="shared" ref="I48" si="50">SUM(I40:I47)</f>
        <v>218778157</v>
      </c>
      <c r="J48" s="789">
        <f t="shared" ref="J48" si="51">SUM(J40:J47)</f>
        <v>220578157</v>
      </c>
      <c r="K48" s="789"/>
      <c r="L48" s="791">
        <f t="shared" si="33"/>
        <v>0.81154528464290665</v>
      </c>
      <c r="M48" s="791">
        <f t="shared" si="34"/>
        <v>0.82459550607568954</v>
      </c>
      <c r="N48" s="792">
        <f t="shared" si="35"/>
        <v>1</v>
      </c>
      <c r="O48" s="789"/>
      <c r="P48" s="788">
        <f>SUM(P40:P47)</f>
        <v>3315728</v>
      </c>
      <c r="Q48" s="789">
        <f t="shared" ref="Q48" si="52">SUM(Q40:Q47)</f>
        <v>0</v>
      </c>
      <c r="R48" s="789">
        <f t="shared" ref="R48" si="53">SUM(R40:R47)</f>
        <v>-44737571</v>
      </c>
      <c r="S48" s="789">
        <f t="shared" ref="S48" si="54">SUM(S40:S47)</f>
        <v>-41421843</v>
      </c>
      <c r="T48" s="793">
        <f t="shared" si="46"/>
        <v>-0.15809863740458016</v>
      </c>
      <c r="U48" s="648"/>
      <c r="V48" s="494"/>
      <c r="W48" s="494"/>
    </row>
    <row r="49" spans="1:23" x14ac:dyDescent="0.25">
      <c r="A49" s="593"/>
      <c r="B49" s="593"/>
      <c r="C49" s="770"/>
      <c r="D49" s="648"/>
      <c r="E49" s="648"/>
      <c r="F49" s="771"/>
      <c r="G49" s="648"/>
      <c r="H49" s="770"/>
      <c r="I49" s="653"/>
      <c r="J49" s="653"/>
      <c r="K49" s="648"/>
      <c r="L49" s="650"/>
      <c r="M49" s="650"/>
      <c r="N49" s="794"/>
      <c r="O49" s="648"/>
      <c r="P49" s="770"/>
      <c r="Q49" s="647"/>
      <c r="R49" s="647"/>
      <c r="S49" s="647"/>
      <c r="T49" s="774"/>
      <c r="U49" s="648"/>
      <c r="V49" s="494"/>
      <c r="W49" s="494"/>
    </row>
    <row r="50" spans="1:23" x14ac:dyDescent="0.25">
      <c r="A50" s="593"/>
      <c r="B50" s="593"/>
      <c r="C50" s="770"/>
      <c r="D50" s="648"/>
      <c r="E50" s="648"/>
      <c r="F50" s="771"/>
      <c r="G50" s="648"/>
      <c r="H50" s="770"/>
      <c r="I50" s="653"/>
      <c r="J50" s="653"/>
      <c r="K50" s="648"/>
      <c r="L50" s="650"/>
      <c r="M50" s="650"/>
      <c r="N50" s="794"/>
      <c r="O50" s="648"/>
      <c r="P50" s="770"/>
      <c r="Q50" s="647"/>
      <c r="R50" s="647"/>
      <c r="S50" s="647"/>
      <c r="T50" s="774"/>
      <c r="U50" s="648"/>
      <c r="V50" s="494"/>
      <c r="W50" s="494"/>
    </row>
    <row r="51" spans="1:23" x14ac:dyDescent="0.25">
      <c r="A51" s="656" t="s">
        <v>271</v>
      </c>
      <c r="B51" s="808" t="str">
        <f>+B15</f>
        <v>Közhatalmi bevételek</v>
      </c>
      <c r="C51" s="770"/>
      <c r="D51" s="648"/>
      <c r="E51" s="648"/>
      <c r="F51" s="771"/>
      <c r="G51" s="648"/>
      <c r="H51" s="770"/>
      <c r="I51" s="653"/>
      <c r="J51" s="653"/>
      <c r="K51" s="648"/>
      <c r="L51" s="650"/>
      <c r="M51" s="650"/>
      <c r="N51" s="794"/>
      <c r="O51" s="648"/>
      <c r="P51" s="770"/>
      <c r="Q51" s="647"/>
      <c r="R51" s="647"/>
      <c r="S51" s="647"/>
      <c r="T51" s="774"/>
      <c r="U51" s="648"/>
      <c r="V51" s="494"/>
      <c r="W51" s="494"/>
    </row>
    <row r="52" spans="1:23" x14ac:dyDescent="0.25">
      <c r="A52" s="593"/>
      <c r="B52" s="655" t="str">
        <f t="shared" ref="B52:B58" si="55">+B40</f>
        <v>Sülysáp Város Önkormányzata</v>
      </c>
      <c r="C52" s="770">
        <f>+' 2. Önk. Bevételek'!C39</f>
        <v>205000000</v>
      </c>
      <c r="D52" s="647">
        <f>+' 2. Önk. Bevételek'!D39</f>
        <v>206000000</v>
      </c>
      <c r="E52" s="647">
        <f>+' 2. Önk. Bevételek'!E39</f>
        <v>206000000</v>
      </c>
      <c r="F52" s="775">
        <f>+' 2. Önk. Bevételek'!F39</f>
        <v>259000000</v>
      </c>
      <c r="G52" s="648"/>
      <c r="H52" s="770">
        <f>+' 2. Önk. Bevételek'!H39</f>
        <v>125571595</v>
      </c>
      <c r="I52" s="647">
        <f>+' 2. Önk. Bevételek'!I39</f>
        <v>198060016</v>
      </c>
      <c r="J52" s="647">
        <f>+' 2. Önk. Bevételek'!J39</f>
        <v>245141050</v>
      </c>
      <c r="K52" s="648"/>
      <c r="L52" s="776">
        <f t="shared" si="33"/>
        <v>0.60957084951456308</v>
      </c>
      <c r="M52" s="776">
        <f t="shared" si="34"/>
        <v>0.96145638834951452</v>
      </c>
      <c r="N52" s="794">
        <f t="shared" si="35"/>
        <v>0.94649054054054049</v>
      </c>
      <c r="O52" s="648"/>
      <c r="P52" s="770">
        <f>+' 2. Önk. Bevételek'!P39</f>
        <v>1000000</v>
      </c>
      <c r="Q52" s="647">
        <f>+' 2. Önk. Bevételek'!Q39</f>
        <v>0</v>
      </c>
      <c r="R52" s="647">
        <f>+' 2. Önk. Bevételek'!R39</f>
        <v>53000000</v>
      </c>
      <c r="S52" s="647">
        <f>+' 2. Önk. Bevételek'!S39</f>
        <v>54000000</v>
      </c>
      <c r="T52" s="778">
        <f t="shared" ref="T52:T60" si="56">IF(C52=0,0,+S52/C52)</f>
        <v>0.26341463414634148</v>
      </c>
      <c r="U52" s="648"/>
      <c r="V52" s="494"/>
      <c r="W52" s="494"/>
    </row>
    <row r="53" spans="1:23" x14ac:dyDescent="0.25">
      <c r="A53" s="655"/>
      <c r="B53" s="655" t="str">
        <f t="shared" si="55"/>
        <v>Dr. Gáspár István HSZK</v>
      </c>
      <c r="C53" s="770"/>
      <c r="D53" s="647"/>
      <c r="E53" s="647"/>
      <c r="F53" s="775"/>
      <c r="G53" s="647"/>
      <c r="H53" s="770"/>
      <c r="I53" s="647"/>
      <c r="J53" s="647"/>
      <c r="K53" s="647"/>
      <c r="L53" s="658">
        <f t="shared" si="33"/>
        <v>0</v>
      </c>
      <c r="M53" s="658">
        <f t="shared" si="34"/>
        <v>0</v>
      </c>
      <c r="N53" s="794">
        <f t="shared" si="35"/>
        <v>0</v>
      </c>
      <c r="O53" s="647"/>
      <c r="P53" s="770"/>
      <c r="Q53" s="647"/>
      <c r="R53" s="647"/>
      <c r="S53" s="647"/>
      <c r="T53" s="778">
        <f t="shared" si="56"/>
        <v>0</v>
      </c>
      <c r="U53" s="648"/>
      <c r="V53" s="494"/>
      <c r="W53" s="494"/>
    </row>
    <row r="54" spans="1:23" x14ac:dyDescent="0.25">
      <c r="A54" s="593"/>
      <c r="B54" s="655" t="str">
        <f t="shared" si="55"/>
        <v>SÜLYSÁPI CSICSERGŐ ÓVODA</v>
      </c>
      <c r="C54" s="770"/>
      <c r="D54" s="647"/>
      <c r="E54" s="647"/>
      <c r="F54" s="775"/>
      <c r="G54" s="647"/>
      <c r="H54" s="770"/>
      <c r="I54" s="647"/>
      <c r="J54" s="647"/>
      <c r="K54" s="647"/>
      <c r="L54" s="658">
        <f t="shared" si="33"/>
        <v>0</v>
      </c>
      <c r="M54" s="658">
        <f t="shared" si="34"/>
        <v>0</v>
      </c>
      <c r="N54" s="794">
        <f t="shared" si="35"/>
        <v>0</v>
      </c>
      <c r="O54" s="647"/>
      <c r="P54" s="770"/>
      <c r="Q54" s="647"/>
      <c r="R54" s="647"/>
      <c r="S54" s="647"/>
      <c r="T54" s="778">
        <f t="shared" si="56"/>
        <v>0</v>
      </c>
      <c r="U54" s="648"/>
      <c r="V54" s="494"/>
      <c r="W54" s="494"/>
    </row>
    <row r="55" spans="1:23" x14ac:dyDescent="0.25">
      <c r="A55" s="593"/>
      <c r="B55" s="655" t="str">
        <f t="shared" si="55"/>
        <v>GÓLYAHÍR BÖLCSŐDE</v>
      </c>
      <c r="C55" s="770"/>
      <c r="D55" s="647"/>
      <c r="E55" s="647"/>
      <c r="F55" s="775"/>
      <c r="G55" s="647"/>
      <c r="H55" s="770"/>
      <c r="I55" s="647"/>
      <c r="J55" s="647"/>
      <c r="K55" s="647"/>
      <c r="L55" s="658">
        <f t="shared" si="33"/>
        <v>0</v>
      </c>
      <c r="M55" s="658">
        <f t="shared" si="34"/>
        <v>0</v>
      </c>
      <c r="N55" s="794">
        <f t="shared" si="35"/>
        <v>0</v>
      </c>
      <c r="O55" s="647"/>
      <c r="P55" s="770"/>
      <c r="Q55" s="647"/>
      <c r="R55" s="647"/>
      <c r="S55" s="647"/>
      <c r="T55" s="778">
        <f t="shared" si="56"/>
        <v>0</v>
      </c>
      <c r="U55" s="648"/>
      <c r="V55" s="494"/>
      <c r="W55" s="494"/>
    </row>
    <row r="56" spans="1:23" x14ac:dyDescent="0.25">
      <c r="A56" s="593"/>
      <c r="B56" s="655" t="str">
        <f t="shared" si="55"/>
        <v>POLGÁRMESTERI HIVATAL</v>
      </c>
      <c r="C56" s="770"/>
      <c r="D56" s="647"/>
      <c r="E56" s="647"/>
      <c r="F56" s="775"/>
      <c r="G56" s="647"/>
      <c r="H56" s="770"/>
      <c r="I56" s="647"/>
      <c r="J56" s="647"/>
      <c r="K56" s="647"/>
      <c r="L56" s="658">
        <f t="shared" si="33"/>
        <v>0</v>
      </c>
      <c r="M56" s="658">
        <f t="shared" si="34"/>
        <v>0</v>
      </c>
      <c r="N56" s="794">
        <f t="shared" si="35"/>
        <v>0</v>
      </c>
      <c r="O56" s="647"/>
      <c r="P56" s="770"/>
      <c r="Q56" s="647"/>
      <c r="R56" s="647"/>
      <c r="S56" s="647"/>
      <c r="T56" s="778">
        <f t="shared" si="56"/>
        <v>0</v>
      </c>
      <c r="U56" s="648"/>
      <c r="V56" s="494"/>
      <c r="W56" s="494"/>
    </row>
    <row r="57" spans="1:23" x14ac:dyDescent="0.25">
      <c r="A57" s="593"/>
      <c r="B57" s="655" t="str">
        <f t="shared" si="55"/>
        <v>Wass Albert Művelődési Központ és Könyvtár</v>
      </c>
      <c r="C57" s="770"/>
      <c r="D57" s="647"/>
      <c r="E57" s="647"/>
      <c r="F57" s="775"/>
      <c r="G57" s="647"/>
      <c r="H57" s="770"/>
      <c r="I57" s="647"/>
      <c r="J57" s="647"/>
      <c r="K57" s="647"/>
      <c r="L57" s="658">
        <f t="shared" si="33"/>
        <v>0</v>
      </c>
      <c r="M57" s="658">
        <f t="shared" si="34"/>
        <v>0</v>
      </c>
      <c r="N57" s="794">
        <f t="shared" si="35"/>
        <v>0</v>
      </c>
      <c r="O57" s="647"/>
      <c r="P57" s="770"/>
      <c r="Q57" s="647"/>
      <c r="R57" s="647"/>
      <c r="S57" s="647"/>
      <c r="T57" s="778">
        <f t="shared" si="56"/>
        <v>0</v>
      </c>
      <c r="U57" s="648"/>
      <c r="V57" s="494"/>
      <c r="W57" s="494"/>
    </row>
    <row r="58" spans="1:23" x14ac:dyDescent="0.25">
      <c r="A58" s="593"/>
      <c r="B58" s="655" t="str">
        <f t="shared" si="55"/>
        <v>Központi Konyha</v>
      </c>
      <c r="C58" s="770"/>
      <c r="D58" s="647"/>
      <c r="E58" s="647"/>
      <c r="F58" s="775"/>
      <c r="G58" s="647"/>
      <c r="H58" s="770"/>
      <c r="I58" s="647"/>
      <c r="J58" s="647"/>
      <c r="K58" s="647"/>
      <c r="L58" s="658">
        <f t="shared" si="33"/>
        <v>0</v>
      </c>
      <c r="M58" s="658">
        <f t="shared" si="34"/>
        <v>0</v>
      </c>
      <c r="N58" s="794">
        <f t="shared" si="35"/>
        <v>0</v>
      </c>
      <c r="O58" s="647"/>
      <c r="P58" s="770"/>
      <c r="Q58" s="647"/>
      <c r="R58" s="647"/>
      <c r="S58" s="647"/>
      <c r="T58" s="778">
        <f t="shared" si="56"/>
        <v>0</v>
      </c>
      <c r="U58" s="648"/>
      <c r="V58" s="494"/>
      <c r="W58" s="494"/>
    </row>
    <row r="59" spans="1:23" ht="8.1" customHeight="1" x14ac:dyDescent="0.25">
      <c r="A59" s="593"/>
      <c r="B59" s="779" t="s">
        <v>455</v>
      </c>
      <c r="C59" s="780"/>
      <c r="D59" s="781"/>
      <c r="E59" s="781"/>
      <c r="F59" s="782"/>
      <c r="G59" s="781"/>
      <c r="H59" s="780"/>
      <c r="I59" s="781"/>
      <c r="J59" s="781"/>
      <c r="K59" s="781"/>
      <c r="L59" s="806"/>
      <c r="M59" s="806"/>
      <c r="N59" s="807"/>
      <c r="O59" s="781"/>
      <c r="P59" s="780"/>
      <c r="Q59" s="781"/>
      <c r="R59" s="781"/>
      <c r="S59" s="781"/>
      <c r="T59" s="785"/>
      <c r="U59" s="648"/>
      <c r="V59" s="494"/>
      <c r="W59" s="494"/>
    </row>
    <row r="60" spans="1:23" x14ac:dyDescent="0.25">
      <c r="A60" s="786" t="str">
        <f>+A51</f>
        <v>B3</v>
      </c>
      <c r="B60" s="787" t="s">
        <v>449</v>
      </c>
      <c r="C60" s="788">
        <f>SUM(C52:C59)</f>
        <v>205000000</v>
      </c>
      <c r="D60" s="789">
        <f t="shared" ref="D60:F60" si="57">SUM(D52:D59)</f>
        <v>206000000</v>
      </c>
      <c r="E60" s="789">
        <f t="shared" si="57"/>
        <v>206000000</v>
      </c>
      <c r="F60" s="790">
        <f t="shared" si="57"/>
        <v>259000000</v>
      </c>
      <c r="G60" s="789"/>
      <c r="H60" s="788">
        <f>SUM(H52:H59)</f>
        <v>125571595</v>
      </c>
      <c r="I60" s="789">
        <f t="shared" ref="I60:J60" si="58">SUM(I52:I59)</f>
        <v>198060016</v>
      </c>
      <c r="J60" s="789">
        <f t="shared" si="58"/>
        <v>245141050</v>
      </c>
      <c r="K60" s="789"/>
      <c r="L60" s="791">
        <f t="shared" si="33"/>
        <v>0.60957084951456308</v>
      </c>
      <c r="M60" s="791">
        <f t="shared" si="34"/>
        <v>0.96145638834951452</v>
      </c>
      <c r="N60" s="792">
        <f t="shared" si="35"/>
        <v>0.94649054054054049</v>
      </c>
      <c r="O60" s="789"/>
      <c r="P60" s="788">
        <f>SUM(P52:P59)</f>
        <v>1000000</v>
      </c>
      <c r="Q60" s="789">
        <f t="shared" ref="Q60:S60" si="59">SUM(Q52:Q59)</f>
        <v>0</v>
      </c>
      <c r="R60" s="789">
        <f t="shared" si="59"/>
        <v>53000000</v>
      </c>
      <c r="S60" s="789">
        <f t="shared" si="59"/>
        <v>54000000</v>
      </c>
      <c r="T60" s="793">
        <f t="shared" si="56"/>
        <v>0.26341463414634148</v>
      </c>
      <c r="U60" s="648"/>
      <c r="V60" s="494"/>
      <c r="W60" s="494"/>
    </row>
    <row r="61" spans="1:23" x14ac:dyDescent="0.25">
      <c r="A61" s="593"/>
      <c r="B61" s="593"/>
      <c r="C61" s="770"/>
      <c r="D61" s="648"/>
      <c r="E61" s="648"/>
      <c r="F61" s="771"/>
      <c r="G61" s="648"/>
      <c r="H61" s="770"/>
      <c r="I61" s="653"/>
      <c r="J61" s="653"/>
      <c r="K61" s="648"/>
      <c r="L61" s="650"/>
      <c r="M61" s="650"/>
      <c r="N61" s="794"/>
      <c r="O61" s="648"/>
      <c r="P61" s="770"/>
      <c r="Q61" s="647"/>
      <c r="R61" s="647"/>
      <c r="S61" s="647"/>
      <c r="T61" s="794"/>
      <c r="U61" s="648"/>
      <c r="V61" s="494"/>
      <c r="W61" s="494"/>
    </row>
    <row r="62" spans="1:23" x14ac:dyDescent="0.25">
      <c r="A62" s="593"/>
      <c r="B62" s="593"/>
      <c r="C62" s="770"/>
      <c r="D62" s="648"/>
      <c r="E62" s="648"/>
      <c r="F62" s="771"/>
      <c r="G62" s="648"/>
      <c r="H62" s="770"/>
      <c r="I62" s="653"/>
      <c r="J62" s="653"/>
      <c r="K62" s="648"/>
      <c r="L62" s="650"/>
      <c r="M62" s="650"/>
      <c r="N62" s="794"/>
      <c r="O62" s="648"/>
      <c r="P62" s="770"/>
      <c r="Q62" s="647"/>
      <c r="R62" s="647"/>
      <c r="S62" s="647"/>
      <c r="T62" s="794"/>
      <c r="U62" s="648"/>
      <c r="V62" s="494"/>
      <c r="W62" s="494"/>
    </row>
    <row r="63" spans="1:23" x14ac:dyDescent="0.25">
      <c r="A63" s="656" t="s">
        <v>285</v>
      </c>
      <c r="B63" s="656" t="str">
        <f>+B16</f>
        <v>Működési bevételek</v>
      </c>
      <c r="C63" s="770"/>
      <c r="D63" s="648"/>
      <c r="E63" s="648"/>
      <c r="F63" s="771"/>
      <c r="G63" s="648"/>
      <c r="H63" s="770"/>
      <c r="I63" s="653"/>
      <c r="J63" s="653"/>
      <c r="K63" s="648"/>
      <c r="L63" s="650"/>
      <c r="M63" s="650"/>
      <c r="N63" s="794"/>
      <c r="O63" s="648"/>
      <c r="P63" s="770"/>
      <c r="Q63" s="647"/>
      <c r="R63" s="647"/>
      <c r="S63" s="647"/>
      <c r="T63" s="794"/>
      <c r="U63" s="648"/>
      <c r="V63" s="494"/>
      <c r="W63" s="494"/>
    </row>
    <row r="64" spans="1:23" x14ac:dyDescent="0.25">
      <c r="A64" s="593"/>
      <c r="B64" s="655" t="str">
        <f t="shared" ref="B64:B70" si="60">+B52</f>
        <v>Sülysáp Város Önkormányzata</v>
      </c>
      <c r="C64" s="770">
        <f>+' 2. Önk. Bevételek'!C50</f>
        <v>53826000</v>
      </c>
      <c r="D64" s="647">
        <f>+' 2. Önk. Bevételek'!D50</f>
        <v>70076030</v>
      </c>
      <c r="E64" s="647">
        <f>+' 2. Önk. Bevételek'!E50</f>
        <v>120076030</v>
      </c>
      <c r="F64" s="775">
        <f>+' 2. Önk. Bevételek'!F50</f>
        <v>150652038</v>
      </c>
      <c r="G64" s="648"/>
      <c r="H64" s="770">
        <f>+' 2. Önk. Bevételek'!H50</f>
        <v>42255037</v>
      </c>
      <c r="I64" s="647">
        <f>+' 2. Önk. Bevételek'!I50</f>
        <v>57590433</v>
      </c>
      <c r="J64" s="647">
        <f>+' 2. Önk. Bevételek'!J50</f>
        <v>71522444</v>
      </c>
      <c r="K64" s="648"/>
      <c r="L64" s="776">
        <f t="shared" si="33"/>
        <v>0.60298845411191249</v>
      </c>
      <c r="M64" s="776">
        <f t="shared" si="34"/>
        <v>0.47961639804380607</v>
      </c>
      <c r="N64" s="794">
        <f t="shared" si="35"/>
        <v>0.47475258184028019</v>
      </c>
      <c r="O64" s="648"/>
      <c r="P64" s="770">
        <f>+' 2. Önk. Bevételek'!P50</f>
        <v>16250030</v>
      </c>
      <c r="Q64" s="647">
        <f>+' 2. Önk. Bevételek'!Q50</f>
        <v>50000000</v>
      </c>
      <c r="R64" s="647">
        <f>+' 2. Önk. Bevételek'!R50</f>
        <v>30576008</v>
      </c>
      <c r="S64" s="647">
        <f>+' 2. Önk. Bevételek'!S50</f>
        <v>96826038</v>
      </c>
      <c r="T64" s="778">
        <f t="shared" ref="T64:T72" si="61">IF(C64=0,0,+S64/C64)</f>
        <v>1.7988711403410991</v>
      </c>
      <c r="U64" s="648"/>
      <c r="V64" s="494"/>
      <c r="W64" s="494"/>
    </row>
    <row r="65" spans="1:23" x14ac:dyDescent="0.25">
      <c r="A65" s="655"/>
      <c r="B65" s="655" t="str">
        <f t="shared" si="60"/>
        <v>Dr. Gáspár István HSZK</v>
      </c>
      <c r="C65" s="770">
        <f>+'4. Dr Gáspár HSZK'!C95</f>
        <v>8041000</v>
      </c>
      <c r="D65" s="647">
        <f>+'4. Dr Gáspár HSZK'!D95</f>
        <v>8041000</v>
      </c>
      <c r="E65" s="647">
        <f>+'4. Dr Gáspár HSZK'!E95</f>
        <v>8041000</v>
      </c>
      <c r="F65" s="775">
        <f>+'4. Dr Gáspár HSZK'!F95</f>
        <v>6491971</v>
      </c>
      <c r="G65" s="647"/>
      <c r="H65" s="770">
        <f>+'4. Dr Gáspár HSZK'!H95</f>
        <v>3200907</v>
      </c>
      <c r="I65" s="647">
        <f>+'4. Dr Gáspár HSZK'!I95</f>
        <v>4942170</v>
      </c>
      <c r="J65" s="647">
        <f>+'4. Dr Gáspár HSZK'!J95</f>
        <v>6481102</v>
      </c>
      <c r="K65" s="647"/>
      <c r="L65" s="658">
        <f t="shared" si="33"/>
        <v>0.39807324959582141</v>
      </c>
      <c r="M65" s="658">
        <f t="shared" si="34"/>
        <v>0.61462131575674672</v>
      </c>
      <c r="N65" s="794">
        <f t="shared" si="35"/>
        <v>0.99832577810344503</v>
      </c>
      <c r="O65" s="647"/>
      <c r="P65" s="770">
        <f>+'4. Dr Gáspár HSZK'!P95</f>
        <v>0</v>
      </c>
      <c r="Q65" s="647">
        <f>+'4. Dr Gáspár HSZK'!Q95</f>
        <v>0</v>
      </c>
      <c r="R65" s="647">
        <f>+'4. Dr Gáspár HSZK'!R95</f>
        <v>-1549029</v>
      </c>
      <c r="S65" s="647">
        <f>+'4. Dr Gáspár HSZK'!S95</f>
        <v>-1549029</v>
      </c>
      <c r="T65" s="778">
        <f t="shared" si="61"/>
        <v>-0.19264133814202214</v>
      </c>
      <c r="U65" s="648"/>
      <c r="V65" s="494"/>
      <c r="W65" s="494"/>
    </row>
    <row r="66" spans="1:23" x14ac:dyDescent="0.25">
      <c r="A66" s="593"/>
      <c r="B66" s="655" t="str">
        <f t="shared" si="60"/>
        <v>SÜLYSÁPI CSICSERGŐ ÓVODA</v>
      </c>
      <c r="C66" s="770">
        <f>+'5. Csicsergő'!C95</f>
        <v>0</v>
      </c>
      <c r="D66" s="647">
        <f>+'5. Csicsergő'!D95</f>
        <v>0</v>
      </c>
      <c r="E66" s="647">
        <f>+'5. Csicsergő'!E95</f>
        <v>0</v>
      </c>
      <c r="F66" s="775">
        <f>+'5. Csicsergő'!F95</f>
        <v>28053</v>
      </c>
      <c r="G66" s="647"/>
      <c r="H66" s="770">
        <f>+'5. Csicsergő'!H95</f>
        <v>2868</v>
      </c>
      <c r="I66" s="647">
        <f>+'5. Csicsergő'!I95</f>
        <v>5683</v>
      </c>
      <c r="J66" s="647">
        <f>+'5. Csicsergő'!J95</f>
        <v>28053</v>
      </c>
      <c r="K66" s="647"/>
      <c r="L66" s="658">
        <f t="shared" si="33"/>
        <v>0</v>
      </c>
      <c r="M66" s="658">
        <f t="shared" si="34"/>
        <v>0</v>
      </c>
      <c r="N66" s="794">
        <f t="shared" si="35"/>
        <v>1</v>
      </c>
      <c r="O66" s="647"/>
      <c r="P66" s="770">
        <f>+'5. Csicsergő'!P95</f>
        <v>0</v>
      </c>
      <c r="Q66" s="647">
        <f>+'5. Csicsergő'!Q95</f>
        <v>0</v>
      </c>
      <c r="R66" s="647">
        <f>+'5. Csicsergő'!R95</f>
        <v>28053</v>
      </c>
      <c r="S66" s="647">
        <f>+'5. Csicsergő'!S95</f>
        <v>28053</v>
      </c>
      <c r="T66" s="778">
        <f t="shared" si="61"/>
        <v>0</v>
      </c>
      <c r="U66" s="648"/>
      <c r="V66" s="494"/>
      <c r="W66" s="494"/>
    </row>
    <row r="67" spans="1:23" x14ac:dyDescent="0.25">
      <c r="A67" s="593"/>
      <c r="B67" s="655" t="str">
        <f t="shared" si="60"/>
        <v>GÓLYAHÍR BÖLCSŐDE</v>
      </c>
      <c r="C67" s="770">
        <f>+'6. Gólyahír'!C95</f>
        <v>3734000</v>
      </c>
      <c r="D67" s="647">
        <f>+'6. Gólyahír'!D95</f>
        <v>3734000</v>
      </c>
      <c r="E67" s="647">
        <f>+'6. Gólyahír'!E95</f>
        <v>3734000</v>
      </c>
      <c r="F67" s="775">
        <f>+'6. Gólyahír'!F95</f>
        <v>1417906</v>
      </c>
      <c r="G67" s="647"/>
      <c r="H67" s="770">
        <f>+'6. Gólyahír'!H95</f>
        <v>1548085</v>
      </c>
      <c r="I67" s="647">
        <f>+'6. Gólyahír'!I95</f>
        <v>2538122</v>
      </c>
      <c r="J67" s="647">
        <f>+'6. Gólyahír'!J95</f>
        <v>3763232</v>
      </c>
      <c r="K67" s="647"/>
      <c r="L67" s="658">
        <f t="shared" si="33"/>
        <v>0.41459159078735941</v>
      </c>
      <c r="M67" s="658">
        <f t="shared" si="34"/>
        <v>0.67973272629887516</v>
      </c>
      <c r="N67" s="794">
        <f t="shared" si="35"/>
        <v>2.654077209631668</v>
      </c>
      <c r="O67" s="647"/>
      <c r="P67" s="770">
        <f>+'6. Gólyahír'!P95</f>
        <v>0</v>
      </c>
      <c r="Q67" s="647">
        <f>+'6. Gólyahír'!Q95</f>
        <v>0</v>
      </c>
      <c r="R67" s="647">
        <f>+'6. Gólyahír'!R95</f>
        <v>-2316094</v>
      </c>
      <c r="S67" s="647">
        <f>+'6. Gólyahír'!S95</f>
        <v>-2316094</v>
      </c>
      <c r="T67" s="778">
        <f t="shared" si="61"/>
        <v>-0.62027155865024108</v>
      </c>
      <c r="U67" s="648"/>
      <c r="V67" s="494"/>
      <c r="W67" s="494"/>
    </row>
    <row r="68" spans="1:23" x14ac:dyDescent="0.25">
      <c r="A68" s="593"/>
      <c r="B68" s="655" t="str">
        <f t="shared" si="60"/>
        <v>POLGÁRMESTERI HIVATAL</v>
      </c>
      <c r="C68" s="770">
        <f>+'7. Polg.Hiv.'!C95</f>
        <v>1000</v>
      </c>
      <c r="D68" s="647">
        <f>+'7. Polg.Hiv.'!D95</f>
        <v>1000</v>
      </c>
      <c r="E68" s="647">
        <f>+'7. Polg.Hiv.'!E95</f>
        <v>1000</v>
      </c>
      <c r="F68" s="775">
        <f>+'7. Polg.Hiv.'!F95</f>
        <v>1149239</v>
      </c>
      <c r="G68" s="647"/>
      <c r="H68" s="770">
        <f>+'7. Polg.Hiv.'!H95</f>
        <v>24498</v>
      </c>
      <c r="I68" s="647">
        <f>+'7. Polg.Hiv.'!I95</f>
        <v>363182</v>
      </c>
      <c r="J68" s="647">
        <f>+'7. Polg.Hiv.'!J95</f>
        <v>756240</v>
      </c>
      <c r="K68" s="647"/>
      <c r="L68" s="658">
        <f t="shared" si="33"/>
        <v>24.498000000000001</v>
      </c>
      <c r="M68" s="658">
        <f t="shared" si="34"/>
        <v>363.18200000000002</v>
      </c>
      <c r="N68" s="794">
        <f t="shared" si="35"/>
        <v>0.65803544780502576</v>
      </c>
      <c r="O68" s="647"/>
      <c r="P68" s="770">
        <f>+'7. Polg.Hiv.'!P95</f>
        <v>0</v>
      </c>
      <c r="Q68" s="647">
        <f>+'7. Polg.Hiv.'!Q95</f>
        <v>0</v>
      </c>
      <c r="R68" s="647">
        <f>+'7. Polg.Hiv.'!R95</f>
        <v>1148239</v>
      </c>
      <c r="S68" s="647">
        <f>+'7. Polg.Hiv.'!S95</f>
        <v>1148239</v>
      </c>
      <c r="T68" s="778">
        <f t="shared" si="61"/>
        <v>1148.239</v>
      </c>
      <c r="U68" s="648"/>
      <c r="V68" s="494"/>
      <c r="W68" s="494"/>
    </row>
    <row r="69" spans="1:23" x14ac:dyDescent="0.25">
      <c r="A69" s="593"/>
      <c r="B69" s="655" t="str">
        <f t="shared" si="60"/>
        <v>Wass Albert Művelődési Központ és Könyvtár</v>
      </c>
      <c r="C69" s="770">
        <f>+'8. WAMKK'!C95</f>
        <v>1811000</v>
      </c>
      <c r="D69" s="647">
        <f>+'8. WAMKK'!D95</f>
        <v>1811000</v>
      </c>
      <c r="E69" s="647">
        <f>+'8. WAMKK'!E95</f>
        <v>1811000</v>
      </c>
      <c r="F69" s="775">
        <f>+'8. WAMKK'!F95</f>
        <v>1183416</v>
      </c>
      <c r="G69" s="647"/>
      <c r="H69" s="770">
        <f>+'8. WAMKK'!H95</f>
        <v>388380</v>
      </c>
      <c r="I69" s="647">
        <f>+'8. WAMKK'!I95</f>
        <v>726634</v>
      </c>
      <c r="J69" s="647">
        <f>+'8. WAMKK'!J95</f>
        <v>1199085</v>
      </c>
      <c r="K69" s="647"/>
      <c r="L69" s="658">
        <f t="shared" si="33"/>
        <v>0.21445610160132522</v>
      </c>
      <c r="M69" s="658">
        <f t="shared" si="34"/>
        <v>0.40123357261181669</v>
      </c>
      <c r="N69" s="794">
        <f t="shared" si="35"/>
        <v>1.0132404834817172</v>
      </c>
      <c r="O69" s="647"/>
      <c r="P69" s="770">
        <f>+'8. WAMKK'!P95</f>
        <v>0</v>
      </c>
      <c r="Q69" s="647">
        <f>+'8. WAMKK'!Q95</f>
        <v>0</v>
      </c>
      <c r="R69" s="647">
        <f>+'8. WAMKK'!R95</f>
        <v>-627584</v>
      </c>
      <c r="S69" s="647">
        <f>+'8. WAMKK'!S95</f>
        <v>-627584</v>
      </c>
      <c r="T69" s="778">
        <f t="shared" si="61"/>
        <v>-0.3465400331308669</v>
      </c>
      <c r="U69" s="648"/>
      <c r="V69" s="494"/>
      <c r="W69" s="494"/>
    </row>
    <row r="70" spans="1:23" x14ac:dyDescent="0.25">
      <c r="A70" s="593"/>
      <c r="B70" s="655" t="str">
        <f t="shared" si="60"/>
        <v>Központi Konyha</v>
      </c>
      <c r="C70" s="770">
        <f>+'9. Közp. Konyha'!C95</f>
        <v>28181000</v>
      </c>
      <c r="D70" s="647">
        <f>+'9. Közp. Konyha'!D95</f>
        <v>28181000</v>
      </c>
      <c r="E70" s="647">
        <f>+'9. Közp. Konyha'!E95</f>
        <v>28181000</v>
      </c>
      <c r="F70" s="775">
        <f>+'9. Közp. Konyha'!F95</f>
        <v>29152019</v>
      </c>
      <c r="G70" s="647"/>
      <c r="H70" s="770">
        <f>+'9. Közp. Konyha'!H95</f>
        <v>14943138</v>
      </c>
      <c r="I70" s="647">
        <f>+'9. Közp. Konyha'!I95</f>
        <v>18250951</v>
      </c>
      <c r="J70" s="647">
        <f>+'9. Közp. Konyha'!J95</f>
        <v>26409403</v>
      </c>
      <c r="K70" s="647"/>
      <c r="L70" s="658">
        <f t="shared" si="33"/>
        <v>0.5302557751676662</v>
      </c>
      <c r="M70" s="658">
        <f t="shared" si="34"/>
        <v>0.64763319257655871</v>
      </c>
      <c r="N70" s="794">
        <f t="shared" si="35"/>
        <v>0.90592020401743012</v>
      </c>
      <c r="O70" s="647"/>
      <c r="P70" s="770">
        <f>+'9. Közp. Konyha'!P95</f>
        <v>0</v>
      </c>
      <c r="Q70" s="647">
        <f>+'9. Közp. Konyha'!Q95</f>
        <v>0</v>
      </c>
      <c r="R70" s="647">
        <f>+'9. Közp. Konyha'!R95</f>
        <v>971019</v>
      </c>
      <c r="S70" s="647">
        <f>+'9. Közp. Konyha'!S95</f>
        <v>971019</v>
      </c>
      <c r="T70" s="778">
        <f t="shared" si="61"/>
        <v>3.4456513253610592E-2</v>
      </c>
      <c r="U70" s="648"/>
      <c r="V70" s="494"/>
      <c r="W70" s="494"/>
    </row>
    <row r="71" spans="1:23" ht="8.1" customHeight="1" x14ac:dyDescent="0.25">
      <c r="A71" s="593"/>
      <c r="B71" s="779" t="s">
        <v>455</v>
      </c>
      <c r="C71" s="780"/>
      <c r="D71" s="781"/>
      <c r="E71" s="781"/>
      <c r="F71" s="782"/>
      <c r="G71" s="781"/>
      <c r="H71" s="780"/>
      <c r="I71" s="781"/>
      <c r="J71" s="781"/>
      <c r="K71" s="781"/>
      <c r="L71" s="806"/>
      <c r="M71" s="806"/>
      <c r="N71" s="807"/>
      <c r="O71" s="781"/>
      <c r="P71" s="780"/>
      <c r="Q71" s="781"/>
      <c r="R71" s="781"/>
      <c r="S71" s="781"/>
      <c r="T71" s="785"/>
      <c r="U71" s="648"/>
      <c r="V71" s="494"/>
      <c r="W71" s="494"/>
    </row>
    <row r="72" spans="1:23" x14ac:dyDescent="0.25">
      <c r="A72" s="786" t="str">
        <f>+A63</f>
        <v>B4</v>
      </c>
      <c r="B72" s="787" t="s">
        <v>449</v>
      </c>
      <c r="C72" s="788">
        <f>SUM(C64:C71)</f>
        <v>95594000</v>
      </c>
      <c r="D72" s="789">
        <f t="shared" ref="D72" si="62">SUM(D64:D71)</f>
        <v>111844030</v>
      </c>
      <c r="E72" s="789">
        <f t="shared" ref="E72" si="63">SUM(E64:E71)</f>
        <v>161844030</v>
      </c>
      <c r="F72" s="790">
        <f t="shared" ref="F72" si="64">SUM(F64:F71)</f>
        <v>190074642</v>
      </c>
      <c r="G72" s="789"/>
      <c r="H72" s="788">
        <f>SUM(H64:H71)</f>
        <v>62362913</v>
      </c>
      <c r="I72" s="789">
        <f t="shared" ref="I72" si="65">SUM(I64:I71)</f>
        <v>84417175</v>
      </c>
      <c r="J72" s="789">
        <f t="shared" ref="J72" si="66">SUM(J64:J71)</f>
        <v>110159559</v>
      </c>
      <c r="K72" s="789"/>
      <c r="L72" s="791">
        <f t="shared" si="33"/>
        <v>0.5575882145877612</v>
      </c>
      <c r="M72" s="791">
        <f t="shared" si="34"/>
        <v>0.52159585373646467</v>
      </c>
      <c r="N72" s="792">
        <f t="shared" si="35"/>
        <v>0.57955947116817408</v>
      </c>
      <c r="O72" s="789"/>
      <c r="P72" s="788">
        <f>SUM(P64:P71)</f>
        <v>16250030</v>
      </c>
      <c r="Q72" s="789">
        <f t="shared" ref="Q72" si="67">SUM(Q64:Q71)</f>
        <v>50000000</v>
      </c>
      <c r="R72" s="789">
        <f t="shared" ref="R72" si="68">SUM(R64:R71)</f>
        <v>28230612</v>
      </c>
      <c r="S72" s="789">
        <f t="shared" ref="S72" si="69">SUM(S64:S71)</f>
        <v>94480642</v>
      </c>
      <c r="T72" s="793">
        <f t="shared" si="61"/>
        <v>0.98835326484925834</v>
      </c>
      <c r="U72" s="648"/>
      <c r="V72" s="494"/>
      <c r="W72" s="494"/>
    </row>
    <row r="73" spans="1:23" x14ac:dyDescent="0.25">
      <c r="A73" s="593"/>
      <c r="B73" s="593"/>
      <c r="C73" s="796"/>
      <c r="D73" s="653"/>
      <c r="E73" s="653"/>
      <c r="F73" s="797"/>
      <c r="G73" s="653"/>
      <c r="H73" s="796"/>
      <c r="I73" s="653"/>
      <c r="J73" s="653"/>
      <c r="K73" s="653"/>
      <c r="L73" s="658"/>
      <c r="M73" s="658"/>
      <c r="N73" s="794"/>
      <c r="O73" s="653"/>
      <c r="P73" s="796"/>
      <c r="Q73" s="593"/>
      <c r="R73" s="593"/>
      <c r="S73" s="593"/>
      <c r="T73" s="774"/>
      <c r="U73" s="653"/>
      <c r="V73" s="494"/>
      <c r="W73" s="494"/>
    </row>
    <row r="74" spans="1:23" x14ac:dyDescent="0.25">
      <c r="A74" s="593"/>
      <c r="B74" s="593"/>
      <c r="C74" s="796"/>
      <c r="D74" s="653"/>
      <c r="E74" s="653"/>
      <c r="F74" s="797"/>
      <c r="G74" s="653"/>
      <c r="H74" s="796"/>
      <c r="I74" s="653"/>
      <c r="J74" s="653"/>
      <c r="K74" s="653"/>
      <c r="L74" s="658"/>
      <c r="M74" s="658"/>
      <c r="N74" s="794"/>
      <c r="O74" s="653"/>
      <c r="P74" s="796"/>
      <c r="Q74" s="593"/>
      <c r="R74" s="593"/>
      <c r="S74" s="593"/>
      <c r="T74" s="774"/>
      <c r="U74" s="653"/>
      <c r="V74" s="494"/>
      <c r="W74" s="494"/>
    </row>
    <row r="75" spans="1:23" x14ac:dyDescent="0.25">
      <c r="A75" s="656" t="s">
        <v>311</v>
      </c>
      <c r="B75" s="656" t="str">
        <f>+B17</f>
        <v>Felhalmozási bevételek</v>
      </c>
      <c r="C75" s="770"/>
      <c r="D75" s="648"/>
      <c r="E75" s="648"/>
      <c r="F75" s="771"/>
      <c r="G75" s="648"/>
      <c r="H75" s="770"/>
      <c r="I75" s="653"/>
      <c r="J75" s="653"/>
      <c r="K75" s="648"/>
      <c r="L75" s="650"/>
      <c r="M75" s="650"/>
      <c r="N75" s="794"/>
      <c r="O75" s="648"/>
      <c r="P75" s="770"/>
      <c r="Q75" s="647"/>
      <c r="R75" s="647"/>
      <c r="S75" s="647"/>
      <c r="T75" s="774"/>
      <c r="U75" s="648"/>
      <c r="V75" s="494"/>
      <c r="W75" s="494"/>
    </row>
    <row r="76" spans="1:23" x14ac:dyDescent="0.25">
      <c r="A76" s="593"/>
      <c r="B76" s="655" t="str">
        <f t="shared" ref="B76:B82" si="70">+B64</f>
        <v>Sülysáp Város Önkormányzata</v>
      </c>
      <c r="C76" s="770">
        <f>+' 2. Önk. Bevételek'!C67</f>
        <v>100700000</v>
      </c>
      <c r="D76" s="647">
        <f>+' 2. Önk. Bevételek'!D67</f>
        <v>97252913</v>
      </c>
      <c r="E76" s="647">
        <f>+' 2. Önk. Bevételek'!E67</f>
        <v>90632470</v>
      </c>
      <c r="F76" s="775">
        <f>+' 2. Önk. Bevételek'!F67</f>
        <v>34411075</v>
      </c>
      <c r="G76" s="648"/>
      <c r="H76" s="770">
        <f>+' 2. Önk. Bevételek'!H67</f>
        <v>11629471</v>
      </c>
      <c r="I76" s="647">
        <f>+' 2. Önk. Bevételek'!I67</f>
        <v>15967376</v>
      </c>
      <c r="J76" s="647">
        <f>+' 2. Önk. Bevételek'!J67</f>
        <v>21217407</v>
      </c>
      <c r="K76" s="648"/>
      <c r="L76" s="776">
        <f t="shared" si="33"/>
        <v>0.11957966750055085</v>
      </c>
      <c r="M76" s="776">
        <f t="shared" si="34"/>
        <v>0.17617721330997599</v>
      </c>
      <c r="N76" s="794">
        <f t="shared" si="35"/>
        <v>0.61658657859424615</v>
      </c>
      <c r="O76" s="648"/>
      <c r="P76" s="770">
        <f>+' 2. Önk. Bevételek'!P67</f>
        <v>-3447087</v>
      </c>
      <c r="Q76" s="647">
        <f>+' 2. Önk. Bevételek'!Q67</f>
        <v>-6620443</v>
      </c>
      <c r="R76" s="647">
        <f>+' 2. Önk. Bevételek'!R67</f>
        <v>-56221395</v>
      </c>
      <c r="S76" s="647">
        <f>+' 2. Önk. Bevételek'!S67</f>
        <v>-66288925</v>
      </c>
      <c r="T76" s="778">
        <f t="shared" ref="T76:T84" si="71">IF(C76=0,0,+S76/C76)</f>
        <v>-0.65828128103277062</v>
      </c>
      <c r="U76" s="648"/>
      <c r="V76" s="494"/>
      <c r="W76" s="494"/>
    </row>
    <row r="77" spans="1:23" x14ac:dyDescent="0.25">
      <c r="A77" s="655"/>
      <c r="B77" s="655" t="str">
        <f t="shared" si="70"/>
        <v>Dr. Gáspár István HSZK</v>
      </c>
      <c r="C77" s="770"/>
      <c r="D77" s="647"/>
      <c r="E77" s="647"/>
      <c r="F77" s="775"/>
      <c r="G77" s="647"/>
      <c r="H77" s="770"/>
      <c r="I77" s="647"/>
      <c r="J77" s="647"/>
      <c r="K77" s="647"/>
      <c r="L77" s="658">
        <f t="shared" si="33"/>
        <v>0</v>
      </c>
      <c r="M77" s="658">
        <f t="shared" si="34"/>
        <v>0</v>
      </c>
      <c r="N77" s="794">
        <f t="shared" si="35"/>
        <v>0</v>
      </c>
      <c r="O77" s="647"/>
      <c r="P77" s="770"/>
      <c r="Q77" s="647"/>
      <c r="R77" s="647"/>
      <c r="S77" s="647"/>
      <c r="T77" s="778">
        <f t="shared" si="71"/>
        <v>0</v>
      </c>
      <c r="U77" s="648"/>
      <c r="V77" s="494"/>
      <c r="W77" s="494"/>
    </row>
    <row r="78" spans="1:23" x14ac:dyDescent="0.25">
      <c r="A78" s="593"/>
      <c r="B78" s="655" t="str">
        <f t="shared" si="70"/>
        <v>SÜLYSÁPI CSICSERGŐ ÓVODA</v>
      </c>
      <c r="C78" s="770"/>
      <c r="D78" s="647"/>
      <c r="E78" s="647"/>
      <c r="F78" s="775"/>
      <c r="G78" s="647"/>
      <c r="H78" s="770"/>
      <c r="I78" s="647"/>
      <c r="J78" s="647"/>
      <c r="K78" s="647"/>
      <c r="L78" s="658">
        <f t="shared" si="33"/>
        <v>0</v>
      </c>
      <c r="M78" s="658">
        <f t="shared" si="34"/>
        <v>0</v>
      </c>
      <c r="N78" s="794">
        <f t="shared" si="35"/>
        <v>0</v>
      </c>
      <c r="O78" s="647"/>
      <c r="P78" s="770"/>
      <c r="Q78" s="647"/>
      <c r="R78" s="647"/>
      <c r="S78" s="647"/>
      <c r="T78" s="778">
        <f t="shared" si="71"/>
        <v>0</v>
      </c>
      <c r="U78" s="648"/>
      <c r="V78" s="494"/>
      <c r="W78" s="494"/>
    </row>
    <row r="79" spans="1:23" x14ac:dyDescent="0.25">
      <c r="A79" s="593"/>
      <c r="B79" s="655" t="str">
        <f t="shared" si="70"/>
        <v>GÓLYAHÍR BÖLCSŐDE</v>
      </c>
      <c r="C79" s="770"/>
      <c r="D79" s="647"/>
      <c r="E79" s="647"/>
      <c r="F79" s="775"/>
      <c r="G79" s="647"/>
      <c r="H79" s="770"/>
      <c r="I79" s="647"/>
      <c r="J79" s="647"/>
      <c r="K79" s="647"/>
      <c r="L79" s="658">
        <f t="shared" si="33"/>
        <v>0</v>
      </c>
      <c r="M79" s="658">
        <f t="shared" si="34"/>
        <v>0</v>
      </c>
      <c r="N79" s="794">
        <f t="shared" si="35"/>
        <v>0</v>
      </c>
      <c r="O79" s="647"/>
      <c r="P79" s="770"/>
      <c r="Q79" s="647"/>
      <c r="R79" s="647"/>
      <c r="S79" s="647"/>
      <c r="T79" s="778">
        <f t="shared" si="71"/>
        <v>0</v>
      </c>
      <c r="U79" s="648"/>
      <c r="V79" s="494"/>
      <c r="W79" s="494"/>
    </row>
    <row r="80" spans="1:23" x14ac:dyDescent="0.25">
      <c r="A80" s="593"/>
      <c r="B80" s="655" t="str">
        <f t="shared" si="70"/>
        <v>POLGÁRMESTERI HIVATAL</v>
      </c>
      <c r="C80" s="770"/>
      <c r="D80" s="647"/>
      <c r="E80" s="647"/>
      <c r="F80" s="775"/>
      <c r="G80" s="647"/>
      <c r="H80" s="770"/>
      <c r="I80" s="647"/>
      <c r="J80" s="647"/>
      <c r="K80" s="647"/>
      <c r="L80" s="658">
        <f t="shared" si="33"/>
        <v>0</v>
      </c>
      <c r="M80" s="658">
        <f t="shared" si="34"/>
        <v>0</v>
      </c>
      <c r="N80" s="794">
        <f t="shared" si="35"/>
        <v>0</v>
      </c>
      <c r="O80" s="647"/>
      <c r="P80" s="770"/>
      <c r="Q80" s="647"/>
      <c r="R80" s="647"/>
      <c r="S80" s="647"/>
      <c r="T80" s="778">
        <f t="shared" si="71"/>
        <v>0</v>
      </c>
      <c r="U80" s="648"/>
      <c r="V80" s="494"/>
      <c r="W80" s="494"/>
    </row>
    <row r="81" spans="1:23" x14ac:dyDescent="0.25">
      <c r="A81" s="593"/>
      <c r="B81" s="655" t="str">
        <f t="shared" si="70"/>
        <v>Wass Albert Művelődési Központ és Könyvtár</v>
      </c>
      <c r="C81" s="770"/>
      <c r="D81" s="647"/>
      <c r="E81" s="647"/>
      <c r="F81" s="775"/>
      <c r="G81" s="647"/>
      <c r="H81" s="770"/>
      <c r="I81" s="647"/>
      <c r="J81" s="647"/>
      <c r="K81" s="647"/>
      <c r="L81" s="658">
        <f t="shared" si="33"/>
        <v>0</v>
      </c>
      <c r="M81" s="658">
        <f t="shared" si="34"/>
        <v>0</v>
      </c>
      <c r="N81" s="794">
        <f t="shared" si="35"/>
        <v>0</v>
      </c>
      <c r="O81" s="647"/>
      <c r="P81" s="770"/>
      <c r="Q81" s="647"/>
      <c r="R81" s="647"/>
      <c r="S81" s="647"/>
      <c r="T81" s="778">
        <f t="shared" si="71"/>
        <v>0</v>
      </c>
      <c r="U81" s="648"/>
      <c r="V81" s="494"/>
      <c r="W81" s="494"/>
    </row>
    <row r="82" spans="1:23" x14ac:dyDescent="0.25">
      <c r="A82" s="593"/>
      <c r="B82" s="655" t="str">
        <f t="shared" si="70"/>
        <v>Központi Konyha</v>
      </c>
      <c r="C82" s="770"/>
      <c r="D82" s="647"/>
      <c r="E82" s="647"/>
      <c r="F82" s="775"/>
      <c r="G82" s="647"/>
      <c r="H82" s="770"/>
      <c r="I82" s="647"/>
      <c r="J82" s="647"/>
      <c r="K82" s="647"/>
      <c r="L82" s="658">
        <f t="shared" si="33"/>
        <v>0</v>
      </c>
      <c r="M82" s="658">
        <f t="shared" si="34"/>
        <v>0</v>
      </c>
      <c r="N82" s="794">
        <f t="shared" si="35"/>
        <v>0</v>
      </c>
      <c r="O82" s="647"/>
      <c r="P82" s="770"/>
      <c r="Q82" s="647"/>
      <c r="R82" s="647"/>
      <c r="S82" s="647"/>
      <c r="T82" s="778">
        <f t="shared" si="71"/>
        <v>0</v>
      </c>
      <c r="U82" s="648"/>
      <c r="V82" s="494"/>
      <c r="W82" s="494"/>
    </row>
    <row r="83" spans="1:23" ht="8.1" customHeight="1" x14ac:dyDescent="0.25">
      <c r="A83" s="593"/>
      <c r="B83" s="779" t="s">
        <v>455</v>
      </c>
      <c r="C83" s="780"/>
      <c r="D83" s="781"/>
      <c r="E83" s="781"/>
      <c r="F83" s="782"/>
      <c r="G83" s="781"/>
      <c r="H83" s="780"/>
      <c r="I83" s="781"/>
      <c r="J83" s="781"/>
      <c r="K83" s="781"/>
      <c r="L83" s="806"/>
      <c r="M83" s="806"/>
      <c r="N83" s="807"/>
      <c r="O83" s="781"/>
      <c r="P83" s="780"/>
      <c r="Q83" s="781"/>
      <c r="R83" s="781"/>
      <c r="S83" s="781"/>
      <c r="T83" s="785"/>
      <c r="U83" s="648"/>
      <c r="V83" s="494"/>
      <c r="W83" s="494"/>
    </row>
    <row r="84" spans="1:23" x14ac:dyDescent="0.25">
      <c r="A84" s="786" t="str">
        <f>+A75</f>
        <v>B5</v>
      </c>
      <c r="B84" s="787" t="s">
        <v>449</v>
      </c>
      <c r="C84" s="788">
        <f>SUM(C76:C83)</f>
        <v>100700000</v>
      </c>
      <c r="D84" s="789">
        <f t="shared" ref="D84" si="72">SUM(D76:D83)</f>
        <v>97252913</v>
      </c>
      <c r="E84" s="789">
        <f t="shared" ref="E84" si="73">SUM(E76:E83)</f>
        <v>90632470</v>
      </c>
      <c r="F84" s="790">
        <f t="shared" ref="F84" si="74">SUM(F76:F83)</f>
        <v>34411075</v>
      </c>
      <c r="G84" s="789"/>
      <c r="H84" s="788">
        <f>SUM(H76:H83)</f>
        <v>11629471</v>
      </c>
      <c r="I84" s="789">
        <f t="shared" ref="I84" si="75">SUM(I76:I83)</f>
        <v>15967376</v>
      </c>
      <c r="J84" s="789">
        <f t="shared" ref="J84" si="76">SUM(J76:J83)</f>
        <v>21217407</v>
      </c>
      <c r="K84" s="789"/>
      <c r="L84" s="791">
        <f t="shared" si="33"/>
        <v>0.11957966750055085</v>
      </c>
      <c r="M84" s="791">
        <f t="shared" si="34"/>
        <v>0.17617721330997599</v>
      </c>
      <c r="N84" s="792">
        <f t="shared" si="35"/>
        <v>0.61658657859424615</v>
      </c>
      <c r="O84" s="789"/>
      <c r="P84" s="788">
        <f>SUM(P76:P83)</f>
        <v>-3447087</v>
      </c>
      <c r="Q84" s="789">
        <f t="shared" ref="Q84" si="77">SUM(Q76:Q83)</f>
        <v>-6620443</v>
      </c>
      <c r="R84" s="789">
        <f t="shared" ref="R84" si="78">SUM(R76:R83)</f>
        <v>-56221395</v>
      </c>
      <c r="S84" s="789">
        <f t="shared" ref="S84" si="79">SUM(S76:S83)</f>
        <v>-66288925</v>
      </c>
      <c r="T84" s="793">
        <f t="shared" si="71"/>
        <v>-0.65828128103277062</v>
      </c>
      <c r="U84" s="648"/>
      <c r="V84" s="494"/>
      <c r="W84" s="494"/>
    </row>
    <row r="85" spans="1:23" x14ac:dyDescent="0.25">
      <c r="A85" s="593"/>
      <c r="B85" s="593"/>
      <c r="C85" s="796"/>
      <c r="D85" s="653"/>
      <c r="E85" s="653"/>
      <c r="F85" s="797"/>
      <c r="G85" s="653"/>
      <c r="H85" s="796"/>
      <c r="I85" s="653"/>
      <c r="J85" s="653"/>
      <c r="K85" s="653"/>
      <c r="L85" s="658"/>
      <c r="M85" s="658"/>
      <c r="N85" s="794"/>
      <c r="O85" s="653"/>
      <c r="P85" s="796"/>
      <c r="Q85" s="593"/>
      <c r="R85" s="593"/>
      <c r="S85" s="593"/>
      <c r="T85" s="794"/>
      <c r="U85" s="653"/>
      <c r="V85" s="494"/>
      <c r="W85" s="494"/>
    </row>
    <row r="86" spans="1:23" x14ac:dyDescent="0.25">
      <c r="A86" s="593"/>
      <c r="B86" s="593"/>
      <c r="C86" s="796"/>
      <c r="D86" s="653"/>
      <c r="E86" s="653"/>
      <c r="F86" s="797"/>
      <c r="G86" s="653"/>
      <c r="H86" s="796"/>
      <c r="I86" s="653"/>
      <c r="J86" s="653"/>
      <c r="K86" s="653"/>
      <c r="L86" s="658"/>
      <c r="M86" s="658"/>
      <c r="N86" s="794"/>
      <c r="O86" s="653"/>
      <c r="P86" s="796"/>
      <c r="Q86" s="593"/>
      <c r="R86" s="593"/>
      <c r="S86" s="593"/>
      <c r="T86" s="794"/>
      <c r="U86" s="653"/>
      <c r="V86" s="494"/>
      <c r="W86" s="494"/>
    </row>
    <row r="87" spans="1:23" x14ac:dyDescent="0.25">
      <c r="A87" s="656" t="s">
        <v>321</v>
      </c>
      <c r="B87" s="808" t="str">
        <f>+B18</f>
        <v>Működési célú átvett pénzeszközök</v>
      </c>
      <c r="C87" s="770"/>
      <c r="D87" s="648"/>
      <c r="E87" s="648"/>
      <c r="F87" s="771"/>
      <c r="G87" s="648"/>
      <c r="H87" s="770"/>
      <c r="I87" s="653"/>
      <c r="J87" s="653"/>
      <c r="K87" s="648"/>
      <c r="L87" s="650"/>
      <c r="M87" s="650"/>
      <c r="N87" s="794"/>
      <c r="O87" s="648"/>
      <c r="P87" s="770"/>
      <c r="Q87" s="647"/>
      <c r="R87" s="647"/>
      <c r="S87" s="647"/>
      <c r="T87" s="794"/>
      <c r="U87" s="648"/>
      <c r="V87" s="494"/>
      <c r="W87" s="494"/>
    </row>
    <row r="88" spans="1:23" x14ac:dyDescent="0.25">
      <c r="A88" s="593"/>
      <c r="B88" s="655" t="str">
        <f t="shared" ref="B88:B94" si="80">+B76</f>
        <v>Sülysáp Város Önkormányzata</v>
      </c>
      <c r="C88" s="770">
        <f>+' 2. Önk. Bevételek'!C72</f>
        <v>0</v>
      </c>
      <c r="D88" s="647">
        <f>+' 2. Önk. Bevételek'!D72</f>
        <v>240000</v>
      </c>
      <c r="E88" s="647">
        <f>+' 2. Önk. Bevételek'!E72</f>
        <v>240000</v>
      </c>
      <c r="F88" s="775">
        <f>+' 2. Önk. Bevételek'!F72</f>
        <v>240000</v>
      </c>
      <c r="G88" s="648"/>
      <c r="H88" s="770">
        <f>+' 2. Önk. Bevételek'!H72</f>
        <v>40000</v>
      </c>
      <c r="I88" s="647">
        <f>+' 2. Önk. Bevételek'!I72</f>
        <v>60000</v>
      </c>
      <c r="J88" s="647">
        <f>+' 2. Önk. Bevételek'!J72</f>
        <v>60000</v>
      </c>
      <c r="K88" s="648"/>
      <c r="L88" s="776">
        <f t="shared" si="33"/>
        <v>0.16666666666666666</v>
      </c>
      <c r="M88" s="776">
        <f t="shared" si="34"/>
        <v>0.25</v>
      </c>
      <c r="N88" s="794">
        <f t="shared" si="35"/>
        <v>0.25</v>
      </c>
      <c r="O88" s="648"/>
      <c r="P88" s="770">
        <f>+' 2. Önk. Bevételek'!P72</f>
        <v>240000</v>
      </c>
      <c r="Q88" s="647">
        <f>+' 2. Önk. Bevételek'!Q72</f>
        <v>0</v>
      </c>
      <c r="R88" s="647">
        <f>+' 2. Önk. Bevételek'!R72</f>
        <v>0</v>
      </c>
      <c r="S88" s="647">
        <f>+' 2. Önk. Bevételek'!S72</f>
        <v>240000</v>
      </c>
      <c r="T88" s="778">
        <f t="shared" ref="T88:T96" si="81">IF(C88=0,0,+S88/C88)</f>
        <v>0</v>
      </c>
      <c r="U88" s="648"/>
      <c r="V88" s="494"/>
      <c r="W88" s="494"/>
    </row>
    <row r="89" spans="1:23" x14ac:dyDescent="0.25">
      <c r="A89" s="655"/>
      <c r="B89" s="655" t="str">
        <f t="shared" si="80"/>
        <v>Dr. Gáspár István HSZK</v>
      </c>
      <c r="C89" s="770"/>
      <c r="D89" s="647"/>
      <c r="E89" s="647"/>
      <c r="F89" s="775"/>
      <c r="G89" s="647"/>
      <c r="H89" s="770"/>
      <c r="I89" s="647"/>
      <c r="J89" s="647"/>
      <c r="K89" s="647"/>
      <c r="L89" s="658">
        <f t="shared" si="33"/>
        <v>0</v>
      </c>
      <c r="M89" s="658">
        <f t="shared" si="34"/>
        <v>0</v>
      </c>
      <c r="N89" s="794">
        <f t="shared" si="35"/>
        <v>0</v>
      </c>
      <c r="O89" s="647"/>
      <c r="P89" s="770"/>
      <c r="Q89" s="647"/>
      <c r="R89" s="647"/>
      <c r="S89" s="647"/>
      <c r="T89" s="778">
        <f t="shared" si="81"/>
        <v>0</v>
      </c>
      <c r="U89" s="648"/>
      <c r="V89" s="494"/>
      <c r="W89" s="494"/>
    </row>
    <row r="90" spans="1:23" x14ac:dyDescent="0.25">
      <c r="A90" s="593"/>
      <c r="B90" s="655" t="str">
        <f t="shared" si="80"/>
        <v>SÜLYSÁPI CSICSERGŐ ÓVODA</v>
      </c>
      <c r="C90" s="770"/>
      <c r="D90" s="647"/>
      <c r="E90" s="647"/>
      <c r="F90" s="775"/>
      <c r="G90" s="647"/>
      <c r="H90" s="770"/>
      <c r="I90" s="647"/>
      <c r="J90" s="647"/>
      <c r="K90" s="647"/>
      <c r="L90" s="658">
        <f t="shared" si="33"/>
        <v>0</v>
      </c>
      <c r="M90" s="658">
        <f t="shared" si="34"/>
        <v>0</v>
      </c>
      <c r="N90" s="794">
        <f t="shared" si="35"/>
        <v>0</v>
      </c>
      <c r="O90" s="647"/>
      <c r="P90" s="770"/>
      <c r="Q90" s="647"/>
      <c r="R90" s="647"/>
      <c r="S90" s="647"/>
      <c r="T90" s="778">
        <f t="shared" si="81"/>
        <v>0</v>
      </c>
      <c r="U90" s="648"/>
      <c r="V90" s="494"/>
      <c r="W90" s="494"/>
    </row>
    <row r="91" spans="1:23" x14ac:dyDescent="0.25">
      <c r="A91" s="593"/>
      <c r="B91" s="655" t="str">
        <f t="shared" si="80"/>
        <v>GÓLYAHÍR BÖLCSŐDE</v>
      </c>
      <c r="C91" s="770"/>
      <c r="D91" s="647"/>
      <c r="E91" s="647"/>
      <c r="F91" s="775"/>
      <c r="G91" s="647"/>
      <c r="H91" s="770"/>
      <c r="I91" s="647"/>
      <c r="J91" s="647"/>
      <c r="K91" s="647"/>
      <c r="L91" s="658">
        <f t="shared" si="33"/>
        <v>0</v>
      </c>
      <c r="M91" s="658">
        <f t="shared" si="34"/>
        <v>0</v>
      </c>
      <c r="N91" s="794">
        <f t="shared" si="35"/>
        <v>0</v>
      </c>
      <c r="O91" s="647"/>
      <c r="P91" s="770"/>
      <c r="Q91" s="647"/>
      <c r="R91" s="647"/>
      <c r="S91" s="647"/>
      <c r="T91" s="778">
        <f t="shared" si="81"/>
        <v>0</v>
      </c>
      <c r="U91" s="648"/>
      <c r="V91" s="494"/>
      <c r="W91" s="494"/>
    </row>
    <row r="92" spans="1:23" x14ac:dyDescent="0.25">
      <c r="A92" s="593"/>
      <c r="B92" s="655" t="str">
        <f t="shared" si="80"/>
        <v>POLGÁRMESTERI HIVATAL</v>
      </c>
      <c r="C92" s="770"/>
      <c r="D92" s="647"/>
      <c r="E92" s="647"/>
      <c r="F92" s="775"/>
      <c r="G92" s="647"/>
      <c r="H92" s="770"/>
      <c r="I92" s="647"/>
      <c r="J92" s="647"/>
      <c r="K92" s="647"/>
      <c r="L92" s="658">
        <f t="shared" ref="L92:L144" si="82">IF(D92=0,0,H92/D92)</f>
        <v>0</v>
      </c>
      <c r="M92" s="658">
        <f t="shared" ref="M92:M144" si="83">IF(E92=0,0,I92/E92)</f>
        <v>0</v>
      </c>
      <c r="N92" s="794">
        <f t="shared" ref="N92:N144" si="84">IF(F92=0,0,J92/F92)</f>
        <v>0</v>
      </c>
      <c r="O92" s="647"/>
      <c r="P92" s="770"/>
      <c r="Q92" s="647"/>
      <c r="R92" s="647"/>
      <c r="S92" s="647"/>
      <c r="T92" s="778">
        <f t="shared" si="81"/>
        <v>0</v>
      </c>
      <c r="U92" s="648"/>
      <c r="V92" s="494"/>
      <c r="W92" s="494"/>
    </row>
    <row r="93" spans="1:23" x14ac:dyDescent="0.25">
      <c r="A93" s="593"/>
      <c r="B93" s="655" t="str">
        <f t="shared" si="80"/>
        <v>Wass Albert Művelődési Központ és Könyvtár</v>
      </c>
      <c r="C93" s="770"/>
      <c r="D93" s="647"/>
      <c r="E93" s="647"/>
      <c r="F93" s="775"/>
      <c r="G93" s="647"/>
      <c r="H93" s="770"/>
      <c r="I93" s="647"/>
      <c r="J93" s="647"/>
      <c r="K93" s="647"/>
      <c r="L93" s="658">
        <f t="shared" si="82"/>
        <v>0</v>
      </c>
      <c r="M93" s="658">
        <f t="shared" si="83"/>
        <v>0</v>
      </c>
      <c r="N93" s="794">
        <f t="shared" si="84"/>
        <v>0</v>
      </c>
      <c r="O93" s="647"/>
      <c r="P93" s="770"/>
      <c r="Q93" s="647"/>
      <c r="R93" s="647"/>
      <c r="S93" s="647"/>
      <c r="T93" s="778">
        <f t="shared" si="81"/>
        <v>0</v>
      </c>
      <c r="U93" s="648"/>
      <c r="V93" s="494"/>
      <c r="W93" s="494"/>
    </row>
    <row r="94" spans="1:23" x14ac:dyDescent="0.25">
      <c r="A94" s="593"/>
      <c r="B94" s="655" t="str">
        <f t="shared" si="80"/>
        <v>Központi Konyha</v>
      </c>
      <c r="C94" s="770"/>
      <c r="D94" s="647"/>
      <c r="E94" s="647"/>
      <c r="F94" s="775"/>
      <c r="G94" s="647"/>
      <c r="H94" s="770"/>
      <c r="I94" s="647"/>
      <c r="J94" s="647"/>
      <c r="K94" s="647"/>
      <c r="L94" s="658">
        <f t="shared" si="82"/>
        <v>0</v>
      </c>
      <c r="M94" s="658">
        <f t="shared" si="83"/>
        <v>0</v>
      </c>
      <c r="N94" s="794">
        <f t="shared" si="84"/>
        <v>0</v>
      </c>
      <c r="O94" s="647"/>
      <c r="P94" s="770"/>
      <c r="Q94" s="647"/>
      <c r="R94" s="647"/>
      <c r="S94" s="647"/>
      <c r="T94" s="778">
        <f t="shared" si="81"/>
        <v>0</v>
      </c>
      <c r="U94" s="648"/>
      <c r="V94" s="494"/>
      <c r="W94" s="494"/>
    </row>
    <row r="95" spans="1:23" ht="8.1" customHeight="1" x14ac:dyDescent="0.25">
      <c r="A95" s="593"/>
      <c r="B95" s="779" t="s">
        <v>455</v>
      </c>
      <c r="C95" s="780"/>
      <c r="D95" s="781"/>
      <c r="E95" s="781"/>
      <c r="F95" s="782"/>
      <c r="G95" s="781"/>
      <c r="H95" s="780"/>
      <c r="I95" s="781"/>
      <c r="J95" s="781"/>
      <c r="K95" s="781"/>
      <c r="L95" s="806"/>
      <c r="M95" s="806"/>
      <c r="N95" s="807"/>
      <c r="O95" s="781"/>
      <c r="P95" s="780"/>
      <c r="Q95" s="781"/>
      <c r="R95" s="781"/>
      <c r="S95" s="781"/>
      <c r="T95" s="785"/>
      <c r="U95" s="648"/>
      <c r="V95" s="494"/>
      <c r="W95" s="494"/>
    </row>
    <row r="96" spans="1:23" x14ac:dyDescent="0.25">
      <c r="A96" s="786" t="str">
        <f>+A87</f>
        <v>B6</v>
      </c>
      <c r="B96" s="787" t="s">
        <v>449</v>
      </c>
      <c r="C96" s="788">
        <f>SUM(C88:C95)</f>
        <v>0</v>
      </c>
      <c r="D96" s="789">
        <f t="shared" ref="D96" si="85">SUM(D88:D95)</f>
        <v>240000</v>
      </c>
      <c r="E96" s="789">
        <f t="shared" ref="E96" si="86">SUM(E88:E95)</f>
        <v>240000</v>
      </c>
      <c r="F96" s="790">
        <f t="shared" ref="F96" si="87">SUM(F88:F95)</f>
        <v>240000</v>
      </c>
      <c r="G96" s="789"/>
      <c r="H96" s="788">
        <f>SUM(H88:H95)</f>
        <v>40000</v>
      </c>
      <c r="I96" s="789">
        <f t="shared" ref="I96" si="88">SUM(I88:I95)</f>
        <v>60000</v>
      </c>
      <c r="J96" s="789">
        <f t="shared" ref="J96" si="89">SUM(J88:J95)</f>
        <v>60000</v>
      </c>
      <c r="K96" s="789"/>
      <c r="L96" s="791">
        <f t="shared" si="82"/>
        <v>0.16666666666666666</v>
      </c>
      <c r="M96" s="791">
        <f t="shared" si="83"/>
        <v>0.25</v>
      </c>
      <c r="N96" s="792">
        <f t="shared" si="84"/>
        <v>0.25</v>
      </c>
      <c r="O96" s="789"/>
      <c r="P96" s="788">
        <f>SUM(P88:P95)</f>
        <v>240000</v>
      </c>
      <c r="Q96" s="789">
        <f t="shared" ref="Q96" si="90">SUM(Q88:Q95)</f>
        <v>0</v>
      </c>
      <c r="R96" s="789">
        <f t="shared" ref="R96" si="91">SUM(R88:R95)</f>
        <v>0</v>
      </c>
      <c r="S96" s="789">
        <f t="shared" ref="S96" si="92">SUM(S88:S95)</f>
        <v>240000</v>
      </c>
      <c r="T96" s="793">
        <f t="shared" si="81"/>
        <v>0</v>
      </c>
      <c r="U96" s="648"/>
      <c r="V96" s="494"/>
      <c r="W96" s="494"/>
    </row>
    <row r="97" spans="1:23" x14ac:dyDescent="0.25">
      <c r="A97" s="593"/>
      <c r="B97" s="593"/>
      <c r="C97" s="796"/>
      <c r="D97" s="653"/>
      <c r="E97" s="653"/>
      <c r="F97" s="797"/>
      <c r="G97" s="653"/>
      <c r="H97" s="796"/>
      <c r="I97" s="653"/>
      <c r="J97" s="653"/>
      <c r="K97" s="653"/>
      <c r="L97" s="658"/>
      <c r="M97" s="658"/>
      <c r="N97" s="794"/>
      <c r="O97" s="653"/>
      <c r="P97" s="796"/>
      <c r="Q97" s="593"/>
      <c r="R97" s="593"/>
      <c r="S97" s="593"/>
      <c r="T97" s="774"/>
      <c r="U97" s="653"/>
      <c r="V97" s="494"/>
      <c r="W97" s="494"/>
    </row>
    <row r="98" spans="1:23" x14ac:dyDescent="0.25">
      <c r="A98" s="593"/>
      <c r="B98" s="593"/>
      <c r="C98" s="796"/>
      <c r="D98" s="653"/>
      <c r="E98" s="653"/>
      <c r="F98" s="797"/>
      <c r="G98" s="653"/>
      <c r="H98" s="796"/>
      <c r="I98" s="653"/>
      <c r="J98" s="653"/>
      <c r="K98" s="653"/>
      <c r="L98" s="658"/>
      <c r="M98" s="658"/>
      <c r="N98" s="794"/>
      <c r="O98" s="653"/>
      <c r="P98" s="796"/>
      <c r="Q98" s="593"/>
      <c r="R98" s="593"/>
      <c r="S98" s="593"/>
      <c r="T98" s="774"/>
      <c r="U98" s="653"/>
      <c r="V98" s="494"/>
      <c r="W98" s="494"/>
    </row>
    <row r="99" spans="1:23" x14ac:dyDescent="0.25">
      <c r="A99" s="656" t="s">
        <v>328</v>
      </c>
      <c r="B99" s="808" t="str">
        <f>+B19</f>
        <v>Felhalmozási célú átvett pénzeszközök</v>
      </c>
      <c r="C99" s="770"/>
      <c r="D99" s="648"/>
      <c r="E99" s="648"/>
      <c r="F99" s="771"/>
      <c r="G99" s="648"/>
      <c r="H99" s="770"/>
      <c r="I99" s="653"/>
      <c r="J99" s="653"/>
      <c r="K99" s="648"/>
      <c r="L99" s="650"/>
      <c r="M99" s="650"/>
      <c r="N99" s="794"/>
      <c r="O99" s="648"/>
      <c r="P99" s="770"/>
      <c r="Q99" s="647"/>
      <c r="R99" s="647"/>
      <c r="S99" s="647"/>
      <c r="T99" s="774"/>
      <c r="U99" s="648"/>
      <c r="V99" s="494"/>
      <c r="W99" s="494"/>
    </row>
    <row r="100" spans="1:23" x14ac:dyDescent="0.25">
      <c r="A100" s="593"/>
      <c r="B100" s="655" t="str">
        <f t="shared" ref="B100:B106" si="93">+B88</f>
        <v>Sülysáp Város Önkormányzata</v>
      </c>
      <c r="C100" s="770">
        <f>+' 2. Önk. Bevételek'!C76</f>
        <v>0</v>
      </c>
      <c r="D100" s="647">
        <f>+' 2. Önk. Bevételek'!D76</f>
        <v>373750</v>
      </c>
      <c r="E100" s="647">
        <f>+' 2. Önk. Bevételek'!E76</f>
        <v>373750</v>
      </c>
      <c r="F100" s="775">
        <f>+' 2. Önk. Bevételek'!F76</f>
        <v>623750</v>
      </c>
      <c r="G100" s="648"/>
      <c r="H100" s="770">
        <f>+' 2. Önk. Bevételek'!H76</f>
        <v>373750</v>
      </c>
      <c r="I100" s="647">
        <f>+' 2. Önk. Bevételek'!I76</f>
        <v>593750</v>
      </c>
      <c r="J100" s="647">
        <f>+' 2. Önk. Bevételek'!J76</f>
        <v>643750</v>
      </c>
      <c r="K100" s="648"/>
      <c r="L100" s="776">
        <f t="shared" si="82"/>
        <v>1</v>
      </c>
      <c r="M100" s="776">
        <f t="shared" si="83"/>
        <v>1.5886287625418061</v>
      </c>
      <c r="N100" s="794">
        <f t="shared" si="84"/>
        <v>1.0320641282565131</v>
      </c>
      <c r="O100" s="648"/>
      <c r="P100" s="770">
        <f>+' 2. Önk. Bevételek'!P76</f>
        <v>373750</v>
      </c>
      <c r="Q100" s="647">
        <f>+' 2. Önk. Bevételek'!Q76</f>
        <v>0</v>
      </c>
      <c r="R100" s="647">
        <f>+' 2. Önk. Bevételek'!R76</f>
        <v>250000</v>
      </c>
      <c r="S100" s="647">
        <f>+' 2. Önk. Bevételek'!S76</f>
        <v>623750</v>
      </c>
      <c r="T100" s="778">
        <f t="shared" ref="T100:T108" si="94">IF(C100=0,0,+S100/C100)</f>
        <v>0</v>
      </c>
      <c r="U100" s="648"/>
      <c r="V100" s="494"/>
      <c r="W100" s="494"/>
    </row>
    <row r="101" spans="1:23" x14ac:dyDescent="0.25">
      <c r="A101" s="655"/>
      <c r="B101" s="655" t="str">
        <f t="shared" si="93"/>
        <v>Dr. Gáspár István HSZK</v>
      </c>
      <c r="C101" s="770"/>
      <c r="D101" s="647"/>
      <c r="E101" s="647"/>
      <c r="F101" s="775"/>
      <c r="G101" s="647"/>
      <c r="H101" s="770"/>
      <c r="I101" s="647"/>
      <c r="J101" s="647"/>
      <c r="K101" s="647"/>
      <c r="L101" s="658">
        <f t="shared" si="82"/>
        <v>0</v>
      </c>
      <c r="M101" s="658">
        <f t="shared" si="83"/>
        <v>0</v>
      </c>
      <c r="N101" s="794">
        <f t="shared" si="84"/>
        <v>0</v>
      </c>
      <c r="O101" s="647"/>
      <c r="P101" s="770"/>
      <c r="Q101" s="647"/>
      <c r="R101" s="647"/>
      <c r="S101" s="647"/>
      <c r="T101" s="778">
        <f t="shared" si="94"/>
        <v>0</v>
      </c>
      <c r="U101" s="648"/>
      <c r="V101" s="494"/>
      <c r="W101" s="494"/>
    </row>
    <row r="102" spans="1:23" x14ac:dyDescent="0.25">
      <c r="A102" s="593"/>
      <c r="B102" s="655" t="str">
        <f t="shared" si="93"/>
        <v>SÜLYSÁPI CSICSERGŐ ÓVODA</v>
      </c>
      <c r="C102" s="770"/>
      <c r="D102" s="647"/>
      <c r="E102" s="647"/>
      <c r="F102" s="775"/>
      <c r="G102" s="647"/>
      <c r="H102" s="770"/>
      <c r="I102" s="647"/>
      <c r="J102" s="647"/>
      <c r="K102" s="647"/>
      <c r="L102" s="658">
        <f t="shared" si="82"/>
        <v>0</v>
      </c>
      <c r="M102" s="658">
        <f t="shared" si="83"/>
        <v>0</v>
      </c>
      <c r="N102" s="794">
        <f t="shared" si="84"/>
        <v>0</v>
      </c>
      <c r="O102" s="647"/>
      <c r="P102" s="770"/>
      <c r="Q102" s="647"/>
      <c r="R102" s="647"/>
      <c r="S102" s="647"/>
      <c r="T102" s="778">
        <f t="shared" si="94"/>
        <v>0</v>
      </c>
      <c r="U102" s="648"/>
      <c r="V102" s="494"/>
      <c r="W102" s="494"/>
    </row>
    <row r="103" spans="1:23" x14ac:dyDescent="0.25">
      <c r="A103" s="593"/>
      <c r="B103" s="655" t="str">
        <f t="shared" si="93"/>
        <v>GÓLYAHÍR BÖLCSŐDE</v>
      </c>
      <c r="C103" s="770"/>
      <c r="D103" s="647"/>
      <c r="E103" s="647"/>
      <c r="F103" s="775"/>
      <c r="G103" s="647"/>
      <c r="H103" s="770"/>
      <c r="I103" s="647"/>
      <c r="J103" s="647"/>
      <c r="K103" s="647"/>
      <c r="L103" s="658">
        <f t="shared" si="82"/>
        <v>0</v>
      </c>
      <c r="M103" s="658">
        <f t="shared" si="83"/>
        <v>0</v>
      </c>
      <c r="N103" s="794">
        <f t="shared" si="84"/>
        <v>0</v>
      </c>
      <c r="O103" s="647"/>
      <c r="P103" s="770"/>
      <c r="Q103" s="647"/>
      <c r="R103" s="647"/>
      <c r="S103" s="647"/>
      <c r="T103" s="778">
        <f t="shared" si="94"/>
        <v>0</v>
      </c>
      <c r="U103" s="648"/>
      <c r="V103" s="494"/>
      <c r="W103" s="494"/>
    </row>
    <row r="104" spans="1:23" x14ac:dyDescent="0.25">
      <c r="A104" s="593"/>
      <c r="B104" s="655" t="str">
        <f t="shared" si="93"/>
        <v>POLGÁRMESTERI HIVATAL</v>
      </c>
      <c r="C104" s="770"/>
      <c r="D104" s="647"/>
      <c r="E104" s="647"/>
      <c r="F104" s="775"/>
      <c r="G104" s="647"/>
      <c r="H104" s="770"/>
      <c r="I104" s="647"/>
      <c r="J104" s="647"/>
      <c r="K104" s="647"/>
      <c r="L104" s="658">
        <f t="shared" si="82"/>
        <v>0</v>
      </c>
      <c r="M104" s="658">
        <f t="shared" si="83"/>
        <v>0</v>
      </c>
      <c r="N104" s="794">
        <f t="shared" si="84"/>
        <v>0</v>
      </c>
      <c r="O104" s="647"/>
      <c r="P104" s="770"/>
      <c r="Q104" s="647"/>
      <c r="R104" s="647"/>
      <c r="S104" s="647"/>
      <c r="T104" s="778">
        <f t="shared" si="94"/>
        <v>0</v>
      </c>
      <c r="U104" s="648"/>
      <c r="V104" s="494"/>
      <c r="W104" s="494"/>
    </row>
    <row r="105" spans="1:23" x14ac:dyDescent="0.25">
      <c r="A105" s="593"/>
      <c r="B105" s="655" t="str">
        <f t="shared" si="93"/>
        <v>Wass Albert Művelődési Központ és Könyvtár</v>
      </c>
      <c r="C105" s="770"/>
      <c r="D105" s="647"/>
      <c r="E105" s="647"/>
      <c r="F105" s="775"/>
      <c r="G105" s="647"/>
      <c r="H105" s="770"/>
      <c r="I105" s="647"/>
      <c r="J105" s="647"/>
      <c r="K105" s="647"/>
      <c r="L105" s="658">
        <f t="shared" si="82"/>
        <v>0</v>
      </c>
      <c r="M105" s="658">
        <f t="shared" si="83"/>
        <v>0</v>
      </c>
      <c r="N105" s="794">
        <f t="shared" si="84"/>
        <v>0</v>
      </c>
      <c r="O105" s="647"/>
      <c r="P105" s="770"/>
      <c r="Q105" s="647"/>
      <c r="R105" s="647"/>
      <c r="S105" s="647"/>
      <c r="T105" s="778">
        <f t="shared" si="94"/>
        <v>0</v>
      </c>
      <c r="U105" s="648"/>
      <c r="V105" s="494"/>
      <c r="W105" s="494"/>
    </row>
    <row r="106" spans="1:23" x14ac:dyDescent="0.25">
      <c r="A106" s="593"/>
      <c r="B106" s="655" t="str">
        <f t="shared" si="93"/>
        <v>Központi Konyha</v>
      </c>
      <c r="C106" s="770"/>
      <c r="D106" s="647"/>
      <c r="E106" s="647"/>
      <c r="F106" s="775"/>
      <c r="G106" s="647"/>
      <c r="H106" s="770"/>
      <c r="I106" s="647"/>
      <c r="J106" s="647"/>
      <c r="K106" s="647"/>
      <c r="L106" s="658">
        <f t="shared" si="82"/>
        <v>0</v>
      </c>
      <c r="M106" s="658">
        <f t="shared" si="83"/>
        <v>0</v>
      </c>
      <c r="N106" s="794">
        <f t="shared" si="84"/>
        <v>0</v>
      </c>
      <c r="O106" s="647"/>
      <c r="P106" s="770"/>
      <c r="Q106" s="647"/>
      <c r="R106" s="647"/>
      <c r="S106" s="647"/>
      <c r="T106" s="778">
        <f t="shared" si="94"/>
        <v>0</v>
      </c>
      <c r="U106" s="648"/>
      <c r="V106" s="494"/>
      <c r="W106" s="494"/>
    </row>
    <row r="107" spans="1:23" ht="8.1" customHeight="1" x14ac:dyDescent="0.25">
      <c r="A107" s="593"/>
      <c r="B107" s="779" t="s">
        <v>455</v>
      </c>
      <c r="C107" s="780"/>
      <c r="D107" s="781"/>
      <c r="E107" s="781"/>
      <c r="F107" s="782"/>
      <c r="G107" s="781"/>
      <c r="H107" s="780"/>
      <c r="I107" s="781"/>
      <c r="J107" s="781"/>
      <c r="K107" s="781"/>
      <c r="L107" s="806"/>
      <c r="M107" s="806"/>
      <c r="N107" s="807"/>
      <c r="O107" s="781"/>
      <c r="P107" s="780"/>
      <c r="Q107" s="781"/>
      <c r="R107" s="781"/>
      <c r="S107" s="781"/>
      <c r="T107" s="785"/>
      <c r="U107" s="648"/>
      <c r="V107" s="494"/>
      <c r="W107" s="494"/>
    </row>
    <row r="108" spans="1:23" x14ac:dyDescent="0.25">
      <c r="A108" s="786" t="str">
        <f>+A99</f>
        <v>B7</v>
      </c>
      <c r="B108" s="787" t="s">
        <v>449</v>
      </c>
      <c r="C108" s="788">
        <f>SUM(C100:C107)</f>
        <v>0</v>
      </c>
      <c r="D108" s="789">
        <f t="shared" ref="D108" si="95">SUM(D100:D107)</f>
        <v>373750</v>
      </c>
      <c r="E108" s="789">
        <f t="shared" ref="E108" si="96">SUM(E100:E107)</f>
        <v>373750</v>
      </c>
      <c r="F108" s="790">
        <f t="shared" ref="F108" si="97">SUM(F100:F107)</f>
        <v>623750</v>
      </c>
      <c r="G108" s="789"/>
      <c r="H108" s="788">
        <f>SUM(H100:H107)</f>
        <v>373750</v>
      </c>
      <c r="I108" s="789">
        <f t="shared" ref="I108" si="98">SUM(I100:I107)</f>
        <v>593750</v>
      </c>
      <c r="J108" s="789">
        <f t="shared" ref="J108" si="99">SUM(J100:J107)</f>
        <v>643750</v>
      </c>
      <c r="K108" s="789"/>
      <c r="L108" s="791">
        <f t="shared" si="82"/>
        <v>1</v>
      </c>
      <c r="M108" s="791">
        <f t="shared" si="83"/>
        <v>1.5886287625418061</v>
      </c>
      <c r="N108" s="792">
        <f t="shared" si="84"/>
        <v>1.0320641282565131</v>
      </c>
      <c r="O108" s="789"/>
      <c r="P108" s="788">
        <f>SUM(P100:P107)</f>
        <v>373750</v>
      </c>
      <c r="Q108" s="789">
        <f t="shared" ref="Q108" si="100">SUM(Q100:Q107)</f>
        <v>0</v>
      </c>
      <c r="R108" s="789">
        <f t="shared" ref="R108" si="101">SUM(R100:R107)</f>
        <v>250000</v>
      </c>
      <c r="S108" s="789">
        <f t="shared" ref="S108" si="102">SUM(S100:S107)</f>
        <v>623750</v>
      </c>
      <c r="T108" s="793">
        <f t="shared" si="94"/>
        <v>0</v>
      </c>
      <c r="U108" s="648"/>
      <c r="V108" s="494"/>
      <c r="W108" s="494"/>
    </row>
    <row r="109" spans="1:23" x14ac:dyDescent="0.25">
      <c r="A109" s="593"/>
      <c r="B109" s="593"/>
      <c r="C109" s="796"/>
      <c r="D109" s="653"/>
      <c r="E109" s="653"/>
      <c r="F109" s="797"/>
      <c r="G109" s="653"/>
      <c r="H109" s="796"/>
      <c r="I109" s="653"/>
      <c r="J109" s="653"/>
      <c r="K109" s="653"/>
      <c r="L109" s="658"/>
      <c r="M109" s="658"/>
      <c r="N109" s="794"/>
      <c r="O109" s="653"/>
      <c r="P109" s="796"/>
      <c r="Q109" s="593"/>
      <c r="R109" s="593"/>
      <c r="S109" s="593"/>
      <c r="T109" s="794"/>
      <c r="U109" s="653"/>
      <c r="V109" s="494"/>
      <c r="W109" s="494"/>
    </row>
    <row r="110" spans="1:23" x14ac:dyDescent="0.25">
      <c r="A110" s="593"/>
      <c r="B110" s="593"/>
      <c r="C110" s="796"/>
      <c r="D110" s="653"/>
      <c r="E110" s="653"/>
      <c r="F110" s="797"/>
      <c r="G110" s="653"/>
      <c r="H110" s="796"/>
      <c r="I110" s="653"/>
      <c r="J110" s="653"/>
      <c r="K110" s="653"/>
      <c r="L110" s="658"/>
      <c r="M110" s="658"/>
      <c r="N110" s="794"/>
      <c r="O110" s="653"/>
      <c r="P110" s="796"/>
      <c r="Q110" s="593"/>
      <c r="R110" s="593"/>
      <c r="S110" s="593"/>
      <c r="T110" s="794"/>
      <c r="U110" s="653"/>
      <c r="V110" s="494"/>
      <c r="W110" s="494"/>
    </row>
    <row r="111" spans="1:23" x14ac:dyDescent="0.25">
      <c r="A111" s="656" t="s">
        <v>335</v>
      </c>
      <c r="B111" s="656"/>
      <c r="C111" s="770"/>
      <c r="D111" s="809" t="s">
        <v>451</v>
      </c>
      <c r="E111" s="648"/>
      <c r="F111" s="771"/>
      <c r="G111" s="648"/>
      <c r="H111" s="770"/>
      <c r="I111" s="653"/>
      <c r="J111" s="653"/>
      <c r="K111" s="648"/>
      <c r="L111" s="650"/>
      <c r="M111" s="650"/>
      <c r="N111" s="794"/>
      <c r="O111" s="648"/>
      <c r="P111" s="770"/>
      <c r="Q111" s="647"/>
      <c r="R111" s="647"/>
      <c r="S111" s="647"/>
      <c r="T111" s="794"/>
      <c r="U111" s="648"/>
      <c r="V111" s="494"/>
      <c r="W111" s="494"/>
    </row>
    <row r="112" spans="1:23" x14ac:dyDescent="0.25">
      <c r="A112" s="593"/>
      <c r="B112" s="655" t="str">
        <f t="shared" ref="B112:B118" si="103">+B100</f>
        <v>Sülysáp Város Önkormányzata</v>
      </c>
      <c r="C112" s="770">
        <f>+' 2. Önk. Bevételek'!C80</f>
        <v>462274594</v>
      </c>
      <c r="D112" s="647">
        <f>+' 2. Önk. Bevételek'!D80</f>
        <v>462274594</v>
      </c>
      <c r="E112" s="647">
        <f>+' 2. Önk. Bevételek'!E80</f>
        <v>462274594</v>
      </c>
      <c r="F112" s="775">
        <f>+' 2. Önk. Bevételek'!F80</f>
        <v>462274594</v>
      </c>
      <c r="G112" s="648"/>
      <c r="H112" s="770">
        <f>+' 2. Önk. Bevételek'!H80-H124*H123</f>
        <v>444274594</v>
      </c>
      <c r="I112" s="647">
        <f>+' 2. Önk. Bevételek'!I80-I124*H123</f>
        <v>444274594</v>
      </c>
      <c r="J112" s="647">
        <f>+' 2. Önk. Bevételek'!J80-J124*H123</f>
        <v>462193342</v>
      </c>
      <c r="K112" s="648"/>
      <c r="L112" s="776">
        <f t="shared" si="82"/>
        <v>0.96106210413977455</v>
      </c>
      <c r="M112" s="776">
        <f t="shared" si="83"/>
        <v>0.96106210413977455</v>
      </c>
      <c r="N112" s="794">
        <f t="shared" si="84"/>
        <v>0.99982423433808698</v>
      </c>
      <c r="O112" s="648"/>
      <c r="P112" s="770">
        <f>+' 2. Önk. Bevételek'!P80-P124</f>
        <v>0</v>
      </c>
      <c r="Q112" s="647">
        <f>+' 2. Önk. Bevételek'!Q80-Q124</f>
        <v>0</v>
      </c>
      <c r="R112" s="647">
        <f>+' 2. Önk. Bevételek'!R80-R124</f>
        <v>0</v>
      </c>
      <c r="S112" s="647">
        <f>+' 2. Önk. Bevételek'!S80-S124</f>
        <v>0</v>
      </c>
      <c r="T112" s="778">
        <f t="shared" ref="T112:T120" si="104">IF(C112=0,0,+S112/C112)</f>
        <v>0</v>
      </c>
      <c r="U112" s="648"/>
      <c r="V112" s="494"/>
      <c r="W112" s="494"/>
    </row>
    <row r="113" spans="1:23" x14ac:dyDescent="0.25">
      <c r="A113" s="655"/>
      <c r="B113" s="655" t="str">
        <f t="shared" si="103"/>
        <v>Dr. Gáspár István HSZK</v>
      </c>
      <c r="C113" s="770">
        <f>+'4. Dr Gáspár HSZK'!C99</f>
        <v>29206962</v>
      </c>
      <c r="D113" s="647">
        <f>+'4. Dr Gáspár HSZK'!D99</f>
        <v>29206962</v>
      </c>
      <c r="E113" s="647">
        <f>+'4. Dr Gáspár HSZK'!E99</f>
        <v>29206962</v>
      </c>
      <c r="F113" s="775">
        <f>+'4. Dr Gáspár HSZK'!F99</f>
        <v>30755991</v>
      </c>
      <c r="G113" s="647"/>
      <c r="H113" s="770">
        <f>+'4. Dr Gáspár HSZK'!H99-H125*H123</f>
        <v>17977443</v>
      </c>
      <c r="I113" s="647">
        <f>+'4. Dr Gáspár HSZK'!I99-I125*H123</f>
        <v>24400995</v>
      </c>
      <c r="J113" s="647">
        <f>+'4. Dr Gáspár HSZK'!J99-J125*H123</f>
        <v>30755991</v>
      </c>
      <c r="K113" s="647"/>
      <c r="L113" s="658">
        <f t="shared" si="82"/>
        <v>0.6155191012334662</v>
      </c>
      <c r="M113" s="658">
        <f t="shared" si="83"/>
        <v>0.83545132150341417</v>
      </c>
      <c r="N113" s="794">
        <f t="shared" si="84"/>
        <v>1</v>
      </c>
      <c r="O113" s="647"/>
      <c r="P113" s="770">
        <f>+'4. Dr Gáspár HSZK'!P99-P125</f>
        <v>0</v>
      </c>
      <c r="Q113" s="647">
        <f>+'4. Dr Gáspár HSZK'!Q99-Q125</f>
        <v>0</v>
      </c>
      <c r="R113" s="647">
        <f>+'4. Dr Gáspár HSZK'!R99-R125</f>
        <v>1549029</v>
      </c>
      <c r="S113" s="647">
        <f>+'4. Dr Gáspár HSZK'!S99-S125</f>
        <v>1549029</v>
      </c>
      <c r="T113" s="778">
        <f t="shared" si="104"/>
        <v>5.3036293196122214E-2</v>
      </c>
      <c r="U113" s="648"/>
      <c r="V113" s="494"/>
      <c r="W113" s="494"/>
    </row>
    <row r="114" spans="1:23" x14ac:dyDescent="0.25">
      <c r="A114" s="593"/>
      <c r="B114" s="655" t="str">
        <f t="shared" si="103"/>
        <v>SÜLYSÁPI CSICSERGŐ ÓVODA</v>
      </c>
      <c r="C114" s="770">
        <f>+'5. Csicsergő'!C99</f>
        <v>196104000</v>
      </c>
      <c r="D114" s="647">
        <f>+'5. Csicsergő'!D99</f>
        <v>196104000</v>
      </c>
      <c r="E114" s="647">
        <f>+'5. Csicsergő'!E99</f>
        <v>196104000</v>
      </c>
      <c r="F114" s="775">
        <f>+'5. Csicsergő'!F99</f>
        <v>191273101</v>
      </c>
      <c r="G114" s="647"/>
      <c r="H114" s="770">
        <f>+'5. Csicsergő'!H99-H126*H123</f>
        <v>94794530</v>
      </c>
      <c r="I114" s="647">
        <f>+'5. Csicsergő'!I99-I126*H123</f>
        <v>141174487</v>
      </c>
      <c r="J114" s="647">
        <f>+'5. Csicsergő'!J99-J126*H123</f>
        <v>191273101</v>
      </c>
      <c r="K114" s="647"/>
      <c r="L114" s="658">
        <f t="shared" si="82"/>
        <v>0.48338906906539386</v>
      </c>
      <c r="M114" s="658">
        <f t="shared" si="83"/>
        <v>0.71989600926039243</v>
      </c>
      <c r="N114" s="794">
        <f t="shared" si="84"/>
        <v>1</v>
      </c>
      <c r="O114" s="647"/>
      <c r="P114" s="770">
        <f>+'5. Csicsergő'!P99-P126</f>
        <v>0</v>
      </c>
      <c r="Q114" s="647">
        <f>+'5. Csicsergő'!Q99-Q126</f>
        <v>0</v>
      </c>
      <c r="R114" s="647">
        <f>+'5. Csicsergő'!R99-R126</f>
        <v>-4830899</v>
      </c>
      <c r="S114" s="647">
        <f>+'5. Csicsergő'!S99-S126</f>
        <v>-4830899</v>
      </c>
      <c r="T114" s="778">
        <f t="shared" si="104"/>
        <v>-2.4634372577815852E-2</v>
      </c>
      <c r="U114" s="648"/>
      <c r="V114" s="494"/>
      <c r="W114" s="494"/>
    </row>
    <row r="115" spans="1:23" x14ac:dyDescent="0.25">
      <c r="A115" s="593"/>
      <c r="B115" s="655" t="str">
        <f t="shared" si="103"/>
        <v>GÓLYAHÍR BÖLCSŐDE</v>
      </c>
      <c r="C115" s="770">
        <f>+'6. Gólyahír'!C99</f>
        <v>53265000</v>
      </c>
      <c r="D115" s="647">
        <f>+'6. Gólyahír'!D99</f>
        <v>53265000</v>
      </c>
      <c r="E115" s="647">
        <f>+'6. Gólyahír'!E99</f>
        <v>53265000</v>
      </c>
      <c r="F115" s="775">
        <f>+'6. Gólyahír'!F99</f>
        <v>55581094</v>
      </c>
      <c r="G115" s="647"/>
      <c r="H115" s="770">
        <f>+'6. Gólyahír'!H99-H127*H123</f>
        <v>28715808</v>
      </c>
      <c r="I115" s="647">
        <f>+'6. Gólyahír'!I99-I127*H123</f>
        <v>41061987</v>
      </c>
      <c r="J115" s="647">
        <f>+'6. Gólyahír'!J99-J127*H123</f>
        <v>55581094</v>
      </c>
      <c r="K115" s="647"/>
      <c r="L115" s="658">
        <f t="shared" si="82"/>
        <v>0.53911213742607711</v>
      </c>
      <c r="M115" s="658">
        <f t="shared" si="83"/>
        <v>0.77089997183891856</v>
      </c>
      <c r="N115" s="794">
        <f t="shared" si="84"/>
        <v>1</v>
      </c>
      <c r="O115" s="647"/>
      <c r="P115" s="770">
        <f>+'6. Gólyahír'!P99-P127</f>
        <v>0</v>
      </c>
      <c r="Q115" s="647">
        <f>+'6. Gólyahír'!Q99-Q127</f>
        <v>0</v>
      </c>
      <c r="R115" s="647">
        <f>+'6. Gólyahír'!R99-R127</f>
        <v>2316094</v>
      </c>
      <c r="S115" s="647">
        <f>+'6. Gólyahír'!S99-S127</f>
        <v>2316094</v>
      </c>
      <c r="T115" s="778">
        <f t="shared" si="104"/>
        <v>4.3482474420351074E-2</v>
      </c>
      <c r="U115" s="648"/>
      <c r="V115" s="494"/>
      <c r="W115" s="494"/>
    </row>
    <row r="116" spans="1:23" x14ac:dyDescent="0.25">
      <c r="A116" s="593"/>
      <c r="B116" s="655" t="str">
        <f t="shared" si="103"/>
        <v>POLGÁRMESTERI HIVATAL</v>
      </c>
      <c r="C116" s="770">
        <f>+'7. Polg.Hiv.'!C99</f>
        <v>127379900</v>
      </c>
      <c r="D116" s="647">
        <f>+'7. Polg.Hiv.'!D99</f>
        <v>128321500</v>
      </c>
      <c r="E116" s="647">
        <f>+'7. Polg.Hiv.'!E99</f>
        <v>128321500</v>
      </c>
      <c r="F116" s="775">
        <f>+'7. Polg.Hiv.'!F99</f>
        <v>124236186</v>
      </c>
      <c r="G116" s="647"/>
      <c r="H116" s="770">
        <f>+'7. Polg.Hiv.'!H99-H128*H123</f>
        <v>63681768</v>
      </c>
      <c r="I116" s="647">
        <f>+'7. Polg.Hiv.'!I99-I128*H123</f>
        <v>93862678</v>
      </c>
      <c r="J116" s="647">
        <f>+'7. Polg.Hiv.'!J99-J128*H123</f>
        <v>124236186</v>
      </c>
      <c r="K116" s="647"/>
      <c r="L116" s="658">
        <f t="shared" si="82"/>
        <v>0.49626732854587891</v>
      </c>
      <c r="M116" s="658">
        <f t="shared" si="83"/>
        <v>0.73146493767607146</v>
      </c>
      <c r="N116" s="794">
        <f t="shared" si="84"/>
        <v>1</v>
      </c>
      <c r="O116" s="647"/>
      <c r="P116" s="770">
        <f>+'7. Polg.Hiv.'!P99-P128</f>
        <v>941600</v>
      </c>
      <c r="Q116" s="647">
        <f>+'7. Polg.Hiv.'!Q99-Q128</f>
        <v>0</v>
      </c>
      <c r="R116" s="647">
        <f>+'7. Polg.Hiv.'!R99-R128</f>
        <v>-4085314</v>
      </c>
      <c r="S116" s="647">
        <f>+'7. Polg.Hiv.'!S99-S128</f>
        <v>-3143714</v>
      </c>
      <c r="T116" s="778">
        <f t="shared" si="104"/>
        <v>-2.4679827822128922E-2</v>
      </c>
      <c r="U116" s="648"/>
      <c r="V116" s="494"/>
      <c r="W116" s="494"/>
    </row>
    <row r="117" spans="1:23" x14ac:dyDescent="0.25">
      <c r="A117" s="593"/>
      <c r="B117" s="655" t="str">
        <f t="shared" si="103"/>
        <v>Wass Albert Művelődési Központ és Könyvtár</v>
      </c>
      <c r="C117" s="770">
        <f>+'8. WAMKK'!C99</f>
        <v>31908800</v>
      </c>
      <c r="D117" s="647">
        <f>+'8. WAMKK'!D99</f>
        <v>31908800</v>
      </c>
      <c r="E117" s="647">
        <f>+'8. WAMKK'!E99</f>
        <v>31908800</v>
      </c>
      <c r="F117" s="775">
        <f>+'8. WAMKK'!F99</f>
        <v>28192080</v>
      </c>
      <c r="G117" s="647"/>
      <c r="H117" s="770">
        <f>+'8. WAMKK'!H99-H129*H123</f>
        <v>14788643</v>
      </c>
      <c r="I117" s="647">
        <f>+'8. WAMKK'!I99-I129*H123</f>
        <v>22936378</v>
      </c>
      <c r="J117" s="647">
        <f>+'8. WAMKK'!J99-J129*H123</f>
        <v>28192080</v>
      </c>
      <c r="K117" s="647"/>
      <c r="L117" s="658">
        <f t="shared" si="82"/>
        <v>0.46346597176954318</v>
      </c>
      <c r="M117" s="658">
        <f t="shared" si="83"/>
        <v>0.7188104222032794</v>
      </c>
      <c r="N117" s="794">
        <f t="shared" si="84"/>
        <v>1</v>
      </c>
      <c r="O117" s="647"/>
      <c r="P117" s="770">
        <f>+'8. WAMKK'!P99-P129</f>
        <v>0</v>
      </c>
      <c r="Q117" s="647">
        <f>+'8. WAMKK'!Q99-Q129</f>
        <v>0</v>
      </c>
      <c r="R117" s="647">
        <f>+'8. WAMKK'!R99-R129</f>
        <v>-3716720</v>
      </c>
      <c r="S117" s="647">
        <f>+'8. WAMKK'!S99-S129</f>
        <v>-3716720</v>
      </c>
      <c r="T117" s="778">
        <f t="shared" si="104"/>
        <v>-0.11647946647946648</v>
      </c>
      <c r="U117" s="648"/>
      <c r="V117" s="494"/>
      <c r="W117" s="494"/>
    </row>
    <row r="118" spans="1:23" x14ac:dyDescent="0.25">
      <c r="A118" s="593"/>
      <c r="B118" s="655" t="str">
        <f t="shared" si="103"/>
        <v>Központi Konyha</v>
      </c>
      <c r="C118" s="770">
        <f>+'9. Közp. Konyha'!C99</f>
        <v>73692641.25</v>
      </c>
      <c r="D118" s="647">
        <f>+'9. Közp. Konyha'!D99</f>
        <v>78455141</v>
      </c>
      <c r="E118" s="647">
        <f>+'9. Közp. Konyha'!E99</f>
        <v>78455141</v>
      </c>
      <c r="F118" s="775">
        <f>+'9. Közp. Konyha'!F99</f>
        <v>79984122</v>
      </c>
      <c r="G118" s="647"/>
      <c r="H118" s="770">
        <f>+'9. Közp. Konyha'!H99-H130*H123</f>
        <v>45678991</v>
      </c>
      <c r="I118" s="647">
        <f>+'9. Közp. Konyha'!I99-I130*H123</f>
        <v>62761792</v>
      </c>
      <c r="J118" s="647">
        <f>+'9. Közp. Konyha'!J99-J130*H123</f>
        <v>79984122</v>
      </c>
      <c r="K118" s="647"/>
      <c r="L118" s="658">
        <f t="shared" si="82"/>
        <v>0.58223069154894513</v>
      </c>
      <c r="M118" s="658">
        <f t="shared" si="83"/>
        <v>0.7999704187645269</v>
      </c>
      <c r="N118" s="794">
        <f t="shared" si="84"/>
        <v>1</v>
      </c>
      <c r="O118" s="647"/>
      <c r="P118" s="770">
        <f>+'9. Közp. Konyha'!P99-P130</f>
        <v>4762499.75</v>
      </c>
      <c r="Q118" s="647">
        <f>+'9. Közp. Konyha'!Q99-Q130</f>
        <v>0</v>
      </c>
      <c r="R118" s="647">
        <f>+'9. Közp. Konyha'!R99-R130</f>
        <v>1528981</v>
      </c>
      <c r="S118" s="647">
        <f>+'9. Közp. Konyha'!S99-S130</f>
        <v>6291480.75</v>
      </c>
      <c r="T118" s="778">
        <f t="shared" si="104"/>
        <v>8.5374613303061647E-2</v>
      </c>
      <c r="U118" s="648"/>
      <c r="V118" s="494"/>
      <c r="W118" s="494"/>
    </row>
    <row r="119" spans="1:23" ht="8.1" customHeight="1" x14ac:dyDescent="0.25">
      <c r="A119" s="593"/>
      <c r="B119" s="779" t="s">
        <v>455</v>
      </c>
      <c r="C119" s="780"/>
      <c r="D119" s="781"/>
      <c r="E119" s="781"/>
      <c r="F119" s="782"/>
      <c r="G119" s="781"/>
      <c r="H119" s="780"/>
      <c r="I119" s="781"/>
      <c r="J119" s="781"/>
      <c r="K119" s="781"/>
      <c r="L119" s="806"/>
      <c r="M119" s="806"/>
      <c r="N119" s="807"/>
      <c r="O119" s="781"/>
      <c r="P119" s="780"/>
      <c r="Q119" s="781"/>
      <c r="R119" s="781"/>
      <c r="S119" s="781"/>
      <c r="T119" s="785"/>
      <c r="U119" s="648"/>
      <c r="V119" s="494"/>
      <c r="W119" s="494"/>
    </row>
    <row r="120" spans="1:23" x14ac:dyDescent="0.25">
      <c r="A120" s="786" t="str">
        <f>+A111</f>
        <v>B8</v>
      </c>
      <c r="B120" s="787" t="s">
        <v>449</v>
      </c>
      <c r="C120" s="788">
        <f>SUM(C112:C119)</f>
        <v>973831897.25</v>
      </c>
      <c r="D120" s="789">
        <f t="shared" ref="D120" si="105">SUM(D112:D119)</f>
        <v>979535997</v>
      </c>
      <c r="E120" s="789">
        <f t="shared" ref="E120" si="106">SUM(E112:E119)</f>
        <v>979535997</v>
      </c>
      <c r="F120" s="790">
        <f t="shared" ref="F120" si="107">SUM(F112:F119)</f>
        <v>972297168</v>
      </c>
      <c r="G120" s="789"/>
      <c r="H120" s="788">
        <f>SUM(H112:H119)</f>
        <v>709911777</v>
      </c>
      <c r="I120" s="789">
        <f t="shared" ref="I120" si="108">SUM(I112:I119)</f>
        <v>830472911</v>
      </c>
      <c r="J120" s="789">
        <f t="shared" ref="J120" si="109">SUM(J112:J119)</f>
        <v>972215916</v>
      </c>
      <c r="K120" s="789"/>
      <c r="L120" s="791">
        <f t="shared" si="82"/>
        <v>0.72474291825336568</v>
      </c>
      <c r="M120" s="791">
        <f t="shared" si="83"/>
        <v>0.84782275847285682</v>
      </c>
      <c r="N120" s="792">
        <f t="shared" si="84"/>
        <v>0.99991643295622556</v>
      </c>
      <c r="O120" s="789"/>
      <c r="P120" s="788">
        <f>SUM(P112:P119)</f>
        <v>5704099.75</v>
      </c>
      <c r="Q120" s="789">
        <f t="shared" ref="Q120" si="110">SUM(Q112:Q119)</f>
        <v>0</v>
      </c>
      <c r="R120" s="789">
        <f t="shared" ref="R120" si="111">SUM(R112:R119)</f>
        <v>-7238829</v>
      </c>
      <c r="S120" s="789">
        <f t="shared" ref="S120" si="112">SUM(S112:S119)</f>
        <v>-1534729.25</v>
      </c>
      <c r="T120" s="793">
        <f t="shared" si="104"/>
        <v>-1.5759693786308662E-3</v>
      </c>
      <c r="U120" s="648"/>
      <c r="V120" s="494"/>
      <c r="W120" s="494"/>
    </row>
    <row r="121" spans="1:23" x14ac:dyDescent="0.25">
      <c r="A121" s="593"/>
      <c r="B121" s="593"/>
      <c r="C121" s="796"/>
      <c r="D121" s="653"/>
      <c r="E121" s="653"/>
      <c r="F121" s="797"/>
      <c r="G121" s="653"/>
      <c r="H121" s="796"/>
      <c r="I121" s="653"/>
      <c r="J121" s="653"/>
      <c r="K121" s="653"/>
      <c r="L121" s="658"/>
      <c r="M121" s="658"/>
      <c r="N121" s="794"/>
      <c r="O121" s="653"/>
      <c r="P121" s="796"/>
      <c r="Q121" s="593"/>
      <c r="R121" s="593"/>
      <c r="S121" s="593"/>
      <c r="T121" s="774"/>
      <c r="U121" s="653"/>
      <c r="V121" s="494"/>
      <c r="W121" s="494"/>
    </row>
    <row r="122" spans="1:23" x14ac:dyDescent="0.25">
      <c r="A122" s="593"/>
      <c r="B122" s="593"/>
      <c r="C122" s="796"/>
      <c r="D122" s="653"/>
      <c r="E122" s="653"/>
      <c r="F122" s="797"/>
      <c r="G122" s="653"/>
      <c r="H122" s="796"/>
      <c r="I122" s="653"/>
      <c r="J122" s="653"/>
      <c r="K122" s="653"/>
      <c r="L122" s="658"/>
      <c r="M122" s="658"/>
      <c r="N122" s="794"/>
      <c r="O122" s="653"/>
      <c r="P122" s="796"/>
      <c r="Q122" s="593"/>
      <c r="R122" s="593"/>
      <c r="S122" s="593"/>
      <c r="T122" s="774"/>
      <c r="U122" s="653"/>
      <c r="V122" s="494"/>
      <c r="W122" s="494"/>
    </row>
    <row r="123" spans="1:23" x14ac:dyDescent="0.25">
      <c r="A123" s="656" t="s">
        <v>456</v>
      </c>
      <c r="B123" s="656"/>
      <c r="C123" s="770"/>
      <c r="D123" s="648"/>
      <c r="E123" s="648"/>
      <c r="F123" s="771"/>
      <c r="G123" s="648"/>
      <c r="H123" s="1068">
        <f>+'1. Sülysáp összesen'!A20</f>
        <v>0</v>
      </c>
      <c r="I123" s="653"/>
      <c r="J123" s="653"/>
      <c r="K123" s="648"/>
      <c r="L123" s="650"/>
      <c r="M123" s="650"/>
      <c r="N123" s="794"/>
      <c r="O123" s="648"/>
      <c r="P123" s="770"/>
      <c r="Q123" s="647"/>
      <c r="R123" s="647"/>
      <c r="S123" s="647"/>
      <c r="T123" s="774"/>
      <c r="U123" s="648"/>
      <c r="V123" s="494"/>
      <c r="W123" s="494"/>
    </row>
    <row r="124" spans="1:23" x14ac:dyDescent="0.25">
      <c r="A124" s="593"/>
      <c r="B124" s="655" t="str">
        <f t="shared" ref="B124:B130" si="113">+B112</f>
        <v>Sülysáp Város Önkormányzata</v>
      </c>
      <c r="C124" s="770">
        <f>+' 2. Önk. Bevételek'!C87</f>
        <v>0</v>
      </c>
      <c r="D124" s="647">
        <f>+' 2. Önk. Bevételek'!D87</f>
        <v>0</v>
      </c>
      <c r="E124" s="647">
        <f>+' 2. Önk. Bevételek'!E87</f>
        <v>0</v>
      </c>
      <c r="F124" s="775">
        <f>+' 2. Önk. Bevételek'!F87</f>
        <v>0</v>
      </c>
      <c r="G124" s="648"/>
      <c r="H124" s="770">
        <f>+' 2. Önk. Bevételek'!H87</f>
        <v>0</v>
      </c>
      <c r="I124" s="647">
        <f>+' 2. Önk. Bevételek'!I87</f>
        <v>0</v>
      </c>
      <c r="J124" s="647">
        <f>+' 2. Önk. Bevételek'!J87</f>
        <v>0</v>
      </c>
      <c r="K124" s="648"/>
      <c r="L124" s="776">
        <f t="shared" si="82"/>
        <v>0</v>
      </c>
      <c r="M124" s="776">
        <f t="shared" si="83"/>
        <v>0</v>
      </c>
      <c r="N124" s="794">
        <f t="shared" si="84"/>
        <v>0</v>
      </c>
      <c r="O124" s="648"/>
      <c r="P124" s="770">
        <f>+' 2. Önk. Bevételek'!P87</f>
        <v>0</v>
      </c>
      <c r="Q124" s="647">
        <f>+' 2. Önk. Bevételek'!Q87</f>
        <v>0</v>
      </c>
      <c r="R124" s="647">
        <f>+' 2. Önk. Bevételek'!R87</f>
        <v>0</v>
      </c>
      <c r="S124" s="647">
        <f>+' 2. Önk. Bevételek'!S87</f>
        <v>0</v>
      </c>
      <c r="T124" s="778">
        <f t="shared" ref="T124:T132" si="114">IF(C124=0,0,+S124/C124)</f>
        <v>0</v>
      </c>
      <c r="U124" s="648"/>
      <c r="V124" s="494"/>
      <c r="W124" s="494"/>
    </row>
    <row r="125" spans="1:23" x14ac:dyDescent="0.25">
      <c r="A125" s="655"/>
      <c r="B125" s="655" t="str">
        <f t="shared" si="113"/>
        <v>Dr. Gáspár István HSZK</v>
      </c>
      <c r="C125" s="770">
        <f>+'4. Dr Gáspár HSZK'!C101</f>
        <v>1561774</v>
      </c>
      <c r="D125" s="647">
        <f>+'4. Dr Gáspár HSZK'!D101</f>
        <v>1561774</v>
      </c>
      <c r="E125" s="647">
        <f>+'4. Dr Gáspár HSZK'!E101</f>
        <v>1561774</v>
      </c>
      <c r="F125" s="775">
        <f>+'4. Dr Gáspár HSZK'!F101</f>
        <v>1561774</v>
      </c>
      <c r="G125" s="647"/>
      <c r="H125" s="770">
        <f>+'4. Dr Gáspár HSZK'!H101</f>
        <v>1561774</v>
      </c>
      <c r="I125" s="647">
        <f>+'4. Dr Gáspár HSZK'!I101</f>
        <v>1561774</v>
      </c>
      <c r="J125" s="647">
        <f>+'4. Dr Gáspár HSZK'!J101</f>
        <v>1561774</v>
      </c>
      <c r="K125" s="647"/>
      <c r="L125" s="658">
        <f t="shared" si="82"/>
        <v>1</v>
      </c>
      <c r="M125" s="658">
        <f t="shared" si="83"/>
        <v>1</v>
      </c>
      <c r="N125" s="794">
        <f t="shared" si="84"/>
        <v>1</v>
      </c>
      <c r="O125" s="647"/>
      <c r="P125" s="770">
        <f>+'4. Dr Gáspár HSZK'!P101</f>
        <v>0</v>
      </c>
      <c r="Q125" s="647">
        <f>+'4. Dr Gáspár HSZK'!Q101</f>
        <v>0</v>
      </c>
      <c r="R125" s="647">
        <f>+'4. Dr Gáspár HSZK'!R101</f>
        <v>0</v>
      </c>
      <c r="S125" s="647">
        <f>+'4. Dr Gáspár HSZK'!S101</f>
        <v>0</v>
      </c>
      <c r="T125" s="778">
        <f t="shared" si="114"/>
        <v>0</v>
      </c>
      <c r="U125" s="648"/>
      <c r="V125" s="494"/>
      <c r="W125" s="494"/>
    </row>
    <row r="126" spans="1:23" x14ac:dyDescent="0.25">
      <c r="A126" s="593"/>
      <c r="B126" s="655" t="str">
        <f t="shared" si="113"/>
        <v>SÜLYSÁPI CSICSERGŐ ÓVODA</v>
      </c>
      <c r="C126" s="770">
        <f>+'5. Csicsergő'!C101</f>
        <v>501674</v>
      </c>
      <c r="D126" s="647">
        <f>+'5. Csicsergő'!D101</f>
        <v>501674</v>
      </c>
      <c r="E126" s="647">
        <f>+'5. Csicsergő'!E101</f>
        <v>501674</v>
      </c>
      <c r="F126" s="775">
        <f>+'5. Csicsergő'!F101</f>
        <v>501674</v>
      </c>
      <c r="G126" s="647"/>
      <c r="H126" s="770">
        <f>+'5. Csicsergő'!H101</f>
        <v>501674</v>
      </c>
      <c r="I126" s="647">
        <f>+'5. Csicsergő'!I101</f>
        <v>501674</v>
      </c>
      <c r="J126" s="647">
        <f>+'5. Csicsergő'!J101</f>
        <v>501674</v>
      </c>
      <c r="K126" s="647"/>
      <c r="L126" s="658">
        <f t="shared" si="82"/>
        <v>1</v>
      </c>
      <c r="M126" s="658">
        <f t="shared" si="83"/>
        <v>1</v>
      </c>
      <c r="N126" s="794">
        <f t="shared" si="84"/>
        <v>1</v>
      </c>
      <c r="O126" s="647"/>
      <c r="P126" s="770">
        <f>+'5. Csicsergő'!P101</f>
        <v>0</v>
      </c>
      <c r="Q126" s="647">
        <f>+'5. Csicsergő'!Q101</f>
        <v>0</v>
      </c>
      <c r="R126" s="647">
        <f>+'5. Csicsergő'!R101</f>
        <v>0</v>
      </c>
      <c r="S126" s="647">
        <f>+'5. Csicsergő'!S101</f>
        <v>0</v>
      </c>
      <c r="T126" s="778">
        <f t="shared" si="114"/>
        <v>0</v>
      </c>
      <c r="U126" s="648"/>
      <c r="V126" s="494"/>
      <c r="W126" s="494"/>
    </row>
    <row r="127" spans="1:23" x14ac:dyDescent="0.25">
      <c r="A127" s="593"/>
      <c r="B127" s="655" t="str">
        <f t="shared" si="113"/>
        <v>GÓLYAHÍR BÖLCSŐDE</v>
      </c>
      <c r="C127" s="770">
        <f>+'6. Gólyahír'!C101</f>
        <v>2395642</v>
      </c>
      <c r="D127" s="647">
        <f>+'6. Gólyahír'!D101</f>
        <v>2395642</v>
      </c>
      <c r="E127" s="647">
        <f>+'6. Gólyahír'!E101</f>
        <v>2395642</v>
      </c>
      <c r="F127" s="775">
        <f>+'6. Gólyahír'!F101</f>
        <v>2395642</v>
      </c>
      <c r="G127" s="647"/>
      <c r="H127" s="770">
        <f>+'6. Gólyahír'!H101</f>
        <v>2395642</v>
      </c>
      <c r="I127" s="647">
        <f>+'6. Gólyahír'!I101</f>
        <v>2395642</v>
      </c>
      <c r="J127" s="647">
        <f>+'6. Gólyahír'!J101</f>
        <v>2395642</v>
      </c>
      <c r="K127" s="647"/>
      <c r="L127" s="658">
        <f t="shared" si="82"/>
        <v>1</v>
      </c>
      <c r="M127" s="658">
        <f t="shared" si="83"/>
        <v>1</v>
      </c>
      <c r="N127" s="794">
        <f t="shared" si="84"/>
        <v>1</v>
      </c>
      <c r="O127" s="647"/>
      <c r="P127" s="770">
        <f>+'6. Gólyahír'!P101</f>
        <v>0</v>
      </c>
      <c r="Q127" s="647">
        <f>+'6. Gólyahír'!Q101</f>
        <v>0</v>
      </c>
      <c r="R127" s="647">
        <f>+'6. Gólyahír'!R101</f>
        <v>0</v>
      </c>
      <c r="S127" s="647">
        <f>+'6. Gólyahír'!S101</f>
        <v>0</v>
      </c>
      <c r="T127" s="778">
        <f t="shared" si="114"/>
        <v>0</v>
      </c>
      <c r="U127" s="648"/>
      <c r="V127" s="494"/>
      <c r="W127" s="494"/>
    </row>
    <row r="128" spans="1:23" x14ac:dyDescent="0.25">
      <c r="A128" s="593"/>
      <c r="B128" s="655" t="str">
        <f t="shared" si="113"/>
        <v>POLGÁRMESTERI HIVATAL</v>
      </c>
      <c r="C128" s="770">
        <f>+'7. Polg.Hiv.'!C101</f>
        <v>1880110</v>
      </c>
      <c r="D128" s="647">
        <f>+'7. Polg.Hiv.'!D101</f>
        <v>1880110</v>
      </c>
      <c r="E128" s="647">
        <f>+'7. Polg.Hiv.'!E101</f>
        <v>1880110</v>
      </c>
      <c r="F128" s="775">
        <f>+'7. Polg.Hiv.'!F101</f>
        <v>1880110</v>
      </c>
      <c r="G128" s="647"/>
      <c r="H128" s="770">
        <f>+'7. Polg.Hiv.'!H101</f>
        <v>1880110</v>
      </c>
      <c r="I128" s="647">
        <f>+'7. Polg.Hiv.'!I101</f>
        <v>1880110</v>
      </c>
      <c r="J128" s="647">
        <f>+'7. Polg.Hiv.'!J101</f>
        <v>1880110</v>
      </c>
      <c r="K128" s="647"/>
      <c r="L128" s="658">
        <f t="shared" si="82"/>
        <v>1</v>
      </c>
      <c r="M128" s="658">
        <f t="shared" si="83"/>
        <v>1</v>
      </c>
      <c r="N128" s="794">
        <f t="shared" si="84"/>
        <v>1</v>
      </c>
      <c r="O128" s="647"/>
      <c r="P128" s="770">
        <f>+'7. Polg.Hiv.'!P101</f>
        <v>0</v>
      </c>
      <c r="Q128" s="647">
        <f>+'7. Polg.Hiv.'!Q101</f>
        <v>0</v>
      </c>
      <c r="R128" s="647">
        <f>+'7. Polg.Hiv.'!R101</f>
        <v>0</v>
      </c>
      <c r="S128" s="647">
        <f>+'7. Polg.Hiv.'!S101</f>
        <v>0</v>
      </c>
      <c r="T128" s="778">
        <f t="shared" si="114"/>
        <v>0</v>
      </c>
      <c r="U128" s="648"/>
      <c r="V128" s="494"/>
      <c r="W128" s="494"/>
    </row>
    <row r="129" spans="1:23" x14ac:dyDescent="0.25">
      <c r="A129" s="593"/>
      <c r="B129" s="655" t="str">
        <f t="shared" si="113"/>
        <v>Wass Albert Művelődési Központ és Könyvtár</v>
      </c>
      <c r="C129" s="770">
        <f>+'8. WAMKK'!C101</f>
        <v>515606</v>
      </c>
      <c r="D129" s="647">
        <f>+'8. WAMKK'!D101</f>
        <v>515606</v>
      </c>
      <c r="E129" s="647">
        <f>+'8. WAMKK'!E101</f>
        <v>515606</v>
      </c>
      <c r="F129" s="775">
        <f>+'8. WAMKK'!F101</f>
        <v>515606</v>
      </c>
      <c r="G129" s="647"/>
      <c r="H129" s="770">
        <f>+'8. WAMKK'!H101</f>
        <v>515606</v>
      </c>
      <c r="I129" s="647">
        <f>+'8. WAMKK'!I101</f>
        <v>515606</v>
      </c>
      <c r="J129" s="647">
        <f>+'8. WAMKK'!J101</f>
        <v>515606</v>
      </c>
      <c r="K129" s="647"/>
      <c r="L129" s="658">
        <f t="shared" si="82"/>
        <v>1</v>
      </c>
      <c r="M129" s="658">
        <f t="shared" si="83"/>
        <v>1</v>
      </c>
      <c r="N129" s="794">
        <f t="shared" si="84"/>
        <v>1</v>
      </c>
      <c r="O129" s="647"/>
      <c r="P129" s="770">
        <f>+'8. WAMKK'!P101</f>
        <v>0</v>
      </c>
      <c r="Q129" s="647">
        <f>+'8. WAMKK'!Q101</f>
        <v>0</v>
      </c>
      <c r="R129" s="647">
        <f>+'8. WAMKK'!R101</f>
        <v>0</v>
      </c>
      <c r="S129" s="647">
        <f>+'8. WAMKK'!S101</f>
        <v>0</v>
      </c>
      <c r="T129" s="778">
        <f t="shared" si="114"/>
        <v>0</v>
      </c>
      <c r="U129" s="648"/>
      <c r="V129" s="494"/>
      <c r="W129" s="494"/>
    </row>
    <row r="130" spans="1:23" x14ac:dyDescent="0.25">
      <c r="A130" s="593"/>
      <c r="B130" s="655" t="str">
        <f t="shared" si="113"/>
        <v>Központi Konyha</v>
      </c>
      <c r="C130" s="770">
        <f>+'9. Közp. Konyha'!C101</f>
        <v>5548999</v>
      </c>
      <c r="D130" s="647">
        <f>+'9. Közp. Konyha'!D101</f>
        <v>5548999</v>
      </c>
      <c r="E130" s="647">
        <f>+'9. Közp. Konyha'!E101</f>
        <v>5548999</v>
      </c>
      <c r="F130" s="775">
        <f>+'9. Közp. Konyha'!F101</f>
        <v>5548999</v>
      </c>
      <c r="G130" s="647"/>
      <c r="H130" s="770">
        <f>+'9. Közp. Konyha'!H101</f>
        <v>5548999</v>
      </c>
      <c r="I130" s="647">
        <f>+'9. Közp. Konyha'!I101</f>
        <v>5548999</v>
      </c>
      <c r="J130" s="647">
        <f>+'9. Közp. Konyha'!J101</f>
        <v>5548999</v>
      </c>
      <c r="K130" s="647"/>
      <c r="L130" s="658">
        <f t="shared" si="82"/>
        <v>1</v>
      </c>
      <c r="M130" s="658">
        <f t="shared" si="83"/>
        <v>1</v>
      </c>
      <c r="N130" s="794">
        <f t="shared" si="84"/>
        <v>1</v>
      </c>
      <c r="O130" s="647"/>
      <c r="P130" s="770">
        <f>+'9. Közp. Konyha'!P101</f>
        <v>0</v>
      </c>
      <c r="Q130" s="647">
        <f>+'9. Közp. Konyha'!Q101</f>
        <v>0</v>
      </c>
      <c r="R130" s="647">
        <f>+'9. Közp. Konyha'!R101</f>
        <v>0</v>
      </c>
      <c r="S130" s="647">
        <f>+'9. Közp. Konyha'!S101</f>
        <v>0</v>
      </c>
      <c r="T130" s="778">
        <f t="shared" si="114"/>
        <v>0</v>
      </c>
      <c r="U130" s="648"/>
      <c r="V130" s="494"/>
      <c r="W130" s="494"/>
    </row>
    <row r="131" spans="1:23" ht="8.1" customHeight="1" x14ac:dyDescent="0.25">
      <c r="A131" s="593"/>
      <c r="B131" s="779" t="s">
        <v>455</v>
      </c>
      <c r="C131" s="780"/>
      <c r="D131" s="781"/>
      <c r="E131" s="781"/>
      <c r="F131" s="782"/>
      <c r="G131" s="781"/>
      <c r="H131" s="780"/>
      <c r="I131" s="781"/>
      <c r="J131" s="781"/>
      <c r="K131" s="781"/>
      <c r="L131" s="806"/>
      <c r="M131" s="806"/>
      <c r="N131" s="807"/>
      <c r="O131" s="781"/>
      <c r="P131" s="780"/>
      <c r="Q131" s="781"/>
      <c r="R131" s="781"/>
      <c r="S131" s="781"/>
      <c r="T131" s="785"/>
      <c r="U131" s="648"/>
      <c r="V131" s="494"/>
      <c r="W131" s="494"/>
    </row>
    <row r="132" spans="1:23" x14ac:dyDescent="0.25">
      <c r="A132" s="786" t="str">
        <f>+A123</f>
        <v>B8-ból előző évi mardvány igénybevétele</v>
      </c>
      <c r="B132" s="787" t="s">
        <v>449</v>
      </c>
      <c r="C132" s="788">
        <f>SUM(C124:C131)</f>
        <v>12403805</v>
      </c>
      <c r="D132" s="789">
        <f t="shared" ref="D132" si="115">SUM(D124:D131)</f>
        <v>12403805</v>
      </c>
      <c r="E132" s="789">
        <f t="shared" ref="E132" si="116">SUM(E124:E131)</f>
        <v>12403805</v>
      </c>
      <c r="F132" s="790">
        <f t="shared" ref="F132" si="117">SUM(F124:F131)</f>
        <v>12403805</v>
      </c>
      <c r="G132" s="789"/>
      <c r="H132" s="788">
        <f>SUM(H124:H131)</f>
        <v>12403805</v>
      </c>
      <c r="I132" s="789">
        <f t="shared" ref="I132" si="118">SUM(I124:I131)</f>
        <v>12403805</v>
      </c>
      <c r="J132" s="789">
        <f t="shared" ref="J132" si="119">SUM(J124:J131)</f>
        <v>12403805</v>
      </c>
      <c r="K132" s="789"/>
      <c r="L132" s="791">
        <f t="shared" si="82"/>
        <v>1</v>
      </c>
      <c r="M132" s="791">
        <f t="shared" si="83"/>
        <v>1</v>
      </c>
      <c r="N132" s="792">
        <f t="shared" si="84"/>
        <v>1</v>
      </c>
      <c r="O132" s="789"/>
      <c r="P132" s="788">
        <f>SUM(P124:P131)</f>
        <v>0</v>
      </c>
      <c r="Q132" s="789">
        <f t="shared" ref="Q132" si="120">SUM(Q124:Q131)</f>
        <v>0</v>
      </c>
      <c r="R132" s="789">
        <f t="shared" ref="R132" si="121">SUM(R124:R131)</f>
        <v>0</v>
      </c>
      <c r="S132" s="789">
        <f t="shared" ref="S132" si="122">SUM(S124:S131)</f>
        <v>0</v>
      </c>
      <c r="T132" s="793">
        <f t="shared" si="114"/>
        <v>0</v>
      </c>
      <c r="U132" s="648"/>
      <c r="V132" s="494"/>
      <c r="W132" s="494"/>
    </row>
    <row r="133" spans="1:23" x14ac:dyDescent="0.25">
      <c r="A133" s="593"/>
      <c r="B133" s="593"/>
      <c r="C133" s="770"/>
      <c r="D133" s="653"/>
      <c r="E133" s="653"/>
      <c r="F133" s="797"/>
      <c r="G133" s="653"/>
      <c r="H133" s="796"/>
      <c r="I133" s="653"/>
      <c r="J133" s="653"/>
      <c r="K133" s="653"/>
      <c r="L133" s="658"/>
      <c r="M133" s="658"/>
      <c r="N133" s="794"/>
      <c r="O133" s="653"/>
      <c r="P133" s="796"/>
      <c r="Q133" s="593"/>
      <c r="R133" s="593"/>
      <c r="S133" s="593"/>
      <c r="T133" s="794"/>
      <c r="U133" s="653"/>
      <c r="V133" s="494"/>
      <c r="W133" s="494"/>
    </row>
    <row r="134" spans="1:23" x14ac:dyDescent="0.25">
      <c r="A134" s="593"/>
      <c r="B134" s="593"/>
      <c r="C134" s="796"/>
      <c r="D134" s="653"/>
      <c r="E134" s="653"/>
      <c r="F134" s="797"/>
      <c r="G134" s="653"/>
      <c r="H134" s="796"/>
      <c r="I134" s="653"/>
      <c r="J134" s="653"/>
      <c r="K134" s="653"/>
      <c r="L134" s="658"/>
      <c r="M134" s="658"/>
      <c r="N134" s="794"/>
      <c r="O134" s="653"/>
      <c r="P134" s="796"/>
      <c r="Q134" s="593"/>
      <c r="R134" s="593"/>
      <c r="S134" s="593"/>
      <c r="T134" s="794"/>
      <c r="U134" s="653"/>
      <c r="V134" s="494"/>
      <c r="W134" s="494"/>
    </row>
    <row r="135" spans="1:23" x14ac:dyDescent="0.25">
      <c r="A135" s="656" t="s">
        <v>361</v>
      </c>
      <c r="B135" s="656" t="str">
        <f>+'4. Dr Gáspár HSZK'!B100</f>
        <v>Központi, irányító szervi támogatás</v>
      </c>
      <c r="C135" s="798" t="s">
        <v>451</v>
      </c>
      <c r="D135" s="648"/>
      <c r="E135" s="648"/>
      <c r="F135" s="771"/>
      <c r="G135" s="648"/>
      <c r="H135" s="770"/>
      <c r="I135" s="653"/>
      <c r="J135" s="653"/>
      <c r="K135" s="648"/>
      <c r="L135" s="650"/>
      <c r="M135" s="650"/>
      <c r="N135" s="794"/>
      <c r="O135" s="648"/>
      <c r="P135" s="770"/>
      <c r="Q135" s="647"/>
      <c r="R135" s="647"/>
      <c r="S135" s="647"/>
      <c r="T135" s="794"/>
      <c r="U135" s="648"/>
      <c r="V135" s="494"/>
      <c r="W135" s="494"/>
    </row>
    <row r="136" spans="1:23" x14ac:dyDescent="0.25">
      <c r="A136" s="593"/>
      <c r="B136" s="655" t="str">
        <f t="shared" ref="B136:B142" si="123">+B124</f>
        <v>Sülysáp Város Önkormányzata</v>
      </c>
      <c r="C136" s="770"/>
      <c r="D136" s="647"/>
      <c r="E136" s="647"/>
      <c r="F136" s="775"/>
      <c r="G136" s="648"/>
      <c r="H136" s="770"/>
      <c r="I136" s="647"/>
      <c r="J136" s="647"/>
      <c r="K136" s="648"/>
      <c r="L136" s="650"/>
      <c r="M136" s="650"/>
      <c r="N136" s="794"/>
      <c r="O136" s="648"/>
      <c r="P136" s="770"/>
      <c r="Q136" s="647"/>
      <c r="R136" s="647"/>
      <c r="S136" s="647"/>
      <c r="T136" s="778"/>
      <c r="U136" s="648"/>
      <c r="V136" s="494"/>
      <c r="W136" s="494"/>
    </row>
    <row r="137" spans="1:23" x14ac:dyDescent="0.25">
      <c r="A137" s="655"/>
      <c r="B137" s="655" t="str">
        <f t="shared" si="123"/>
        <v>Dr. Gáspár István HSZK</v>
      </c>
      <c r="C137" s="770">
        <f>+'4. Dr Gáspár HSZK'!C100</f>
        <v>27645188</v>
      </c>
      <c r="D137" s="647">
        <f>+'4. Dr Gáspár HSZK'!D100</f>
        <v>27645188</v>
      </c>
      <c r="E137" s="647">
        <f>+'4. Dr Gáspár HSZK'!E100</f>
        <v>27645188</v>
      </c>
      <c r="F137" s="775">
        <f>+'4. Dr Gáspár HSZK'!F100</f>
        <v>29194217</v>
      </c>
      <c r="G137" s="647"/>
      <c r="H137" s="770">
        <f>+'4. Dr Gáspár HSZK'!H100</f>
        <v>16415669</v>
      </c>
      <c r="I137" s="647">
        <f>+'4. Dr Gáspár HSZK'!I100</f>
        <v>22839221</v>
      </c>
      <c r="J137" s="647">
        <f>+'4. Dr Gáspár HSZK'!J100</f>
        <v>29194217</v>
      </c>
      <c r="K137" s="647"/>
      <c r="L137" s="658">
        <f t="shared" si="82"/>
        <v>0.59379842162766261</v>
      </c>
      <c r="M137" s="658">
        <f t="shared" si="83"/>
        <v>0.82615538733178451</v>
      </c>
      <c r="N137" s="794">
        <f t="shared" si="84"/>
        <v>1</v>
      </c>
      <c r="O137" s="647"/>
      <c r="P137" s="770">
        <f>+'4. Dr Gáspár HSZK'!P100</f>
        <v>0</v>
      </c>
      <c r="Q137" s="647">
        <f>+'4. Dr Gáspár HSZK'!Q100</f>
        <v>0</v>
      </c>
      <c r="R137" s="647">
        <f>+'4. Dr Gáspár HSZK'!R100</f>
        <v>1549029</v>
      </c>
      <c r="S137" s="647">
        <f>+'4. Dr Gáspár HSZK'!S100</f>
        <v>1549029</v>
      </c>
      <c r="T137" s="778">
        <f t="shared" ref="T137:T144" si="124">IF(C137=0,0,+S137/C137)</f>
        <v>5.6032500122625319E-2</v>
      </c>
      <c r="U137" s="648"/>
      <c r="V137" s="494"/>
      <c r="W137" s="494"/>
    </row>
    <row r="138" spans="1:23" x14ac:dyDescent="0.25">
      <c r="A138" s="593"/>
      <c r="B138" s="655" t="str">
        <f t="shared" si="123"/>
        <v>SÜLYSÁPI CSICSERGŐ ÓVODA</v>
      </c>
      <c r="C138" s="770">
        <f>+'5. Csicsergő'!C100</f>
        <v>195602326</v>
      </c>
      <c r="D138" s="647">
        <f>+'5. Csicsergő'!D100</f>
        <v>195602326</v>
      </c>
      <c r="E138" s="647">
        <f>+'5. Csicsergő'!E100</f>
        <v>195602326</v>
      </c>
      <c r="F138" s="775">
        <f>+'5. Csicsergő'!F100</f>
        <v>190771427</v>
      </c>
      <c r="G138" s="647"/>
      <c r="H138" s="770">
        <f>+'5. Csicsergő'!H100</f>
        <v>94292856</v>
      </c>
      <c r="I138" s="647">
        <f>+'5. Csicsergő'!I100</f>
        <v>140672813</v>
      </c>
      <c r="J138" s="647">
        <f>+'5. Csicsergő'!J100</f>
        <v>190771427</v>
      </c>
      <c r="K138" s="647"/>
      <c r="L138" s="658">
        <f t="shared" si="82"/>
        <v>0.48206408343017354</v>
      </c>
      <c r="M138" s="658">
        <f t="shared" si="83"/>
        <v>0.71917760834807254</v>
      </c>
      <c r="N138" s="794">
        <f t="shared" si="84"/>
        <v>1</v>
      </c>
      <c r="O138" s="647"/>
      <c r="P138" s="770">
        <f>+'5. Csicsergő'!P100</f>
        <v>0</v>
      </c>
      <c r="Q138" s="647">
        <f>+'5. Csicsergő'!Q100</f>
        <v>0</v>
      </c>
      <c r="R138" s="647">
        <f>+'5. Csicsergő'!R100</f>
        <v>-4830899</v>
      </c>
      <c r="S138" s="647">
        <f>+'5. Csicsergő'!S100</f>
        <v>-4830899</v>
      </c>
      <c r="T138" s="778">
        <f t="shared" si="124"/>
        <v>-2.4697553954445308E-2</v>
      </c>
      <c r="U138" s="648"/>
      <c r="V138" s="494"/>
      <c r="W138" s="494"/>
    </row>
    <row r="139" spans="1:23" x14ac:dyDescent="0.25">
      <c r="A139" s="593"/>
      <c r="B139" s="655" t="str">
        <f t="shared" si="123"/>
        <v>GÓLYAHÍR BÖLCSŐDE</v>
      </c>
      <c r="C139" s="770">
        <f>+'6. Gólyahír'!C100</f>
        <v>50869358</v>
      </c>
      <c r="D139" s="647">
        <f>+'6. Gólyahír'!D100</f>
        <v>50869358</v>
      </c>
      <c r="E139" s="647">
        <f>+'6. Gólyahír'!E100</f>
        <v>50869358</v>
      </c>
      <c r="F139" s="775">
        <f>+'6. Gólyahír'!F100</f>
        <v>53185452</v>
      </c>
      <c r="G139" s="647"/>
      <c r="H139" s="770">
        <f>+'6. Gólyahír'!H100</f>
        <v>26320166</v>
      </c>
      <c r="I139" s="647">
        <f>+'6. Gólyahír'!I100</f>
        <v>38666345</v>
      </c>
      <c r="J139" s="647">
        <f>+'6. Gólyahír'!J100</f>
        <v>53185452</v>
      </c>
      <c r="K139" s="647"/>
      <c r="L139" s="658">
        <f t="shared" si="82"/>
        <v>0.51740708030952542</v>
      </c>
      <c r="M139" s="658">
        <f t="shared" si="83"/>
        <v>0.76011073306645627</v>
      </c>
      <c r="N139" s="794">
        <f t="shared" si="84"/>
        <v>1</v>
      </c>
      <c r="O139" s="647"/>
      <c r="P139" s="770">
        <f>+'6. Gólyahír'!P100</f>
        <v>0</v>
      </c>
      <c r="Q139" s="647">
        <f>+'6. Gólyahír'!Q100</f>
        <v>0</v>
      </c>
      <c r="R139" s="647">
        <f>+'6. Gólyahír'!R100</f>
        <v>2316094</v>
      </c>
      <c r="S139" s="647">
        <f>+'6. Gólyahír'!S100</f>
        <v>2316094</v>
      </c>
      <c r="T139" s="778">
        <f t="shared" si="124"/>
        <v>4.5530238459073925E-2</v>
      </c>
      <c r="U139" s="648"/>
      <c r="V139" s="494"/>
      <c r="W139" s="494"/>
    </row>
    <row r="140" spans="1:23" x14ac:dyDescent="0.25">
      <c r="A140" s="593"/>
      <c r="B140" s="655" t="str">
        <f t="shared" si="123"/>
        <v>POLGÁRMESTERI HIVATAL</v>
      </c>
      <c r="C140" s="770">
        <f>+'7. Polg.Hiv.'!C100</f>
        <v>125499790</v>
      </c>
      <c r="D140" s="647">
        <f>+'7. Polg.Hiv.'!D100</f>
        <v>126441390</v>
      </c>
      <c r="E140" s="647">
        <f>+'7. Polg.Hiv.'!E100</f>
        <v>126441390</v>
      </c>
      <c r="F140" s="775">
        <f>+'7. Polg.Hiv.'!F100</f>
        <v>122356076</v>
      </c>
      <c r="G140" s="647"/>
      <c r="H140" s="770">
        <f>+'7. Polg.Hiv.'!H100</f>
        <v>61801658</v>
      </c>
      <c r="I140" s="647">
        <f>+'7. Polg.Hiv.'!I100</f>
        <v>91982568</v>
      </c>
      <c r="J140" s="647">
        <f>+'7. Polg.Hiv.'!J100</f>
        <v>122356076</v>
      </c>
      <c r="K140" s="647"/>
      <c r="L140" s="658">
        <f t="shared" si="82"/>
        <v>0.48877711641733773</v>
      </c>
      <c r="M140" s="658">
        <f t="shared" si="83"/>
        <v>0.72747197733273894</v>
      </c>
      <c r="N140" s="794">
        <f t="shared" si="84"/>
        <v>1</v>
      </c>
      <c r="O140" s="647"/>
      <c r="P140" s="770">
        <f>+'7. Polg.Hiv.'!P100</f>
        <v>941600</v>
      </c>
      <c r="Q140" s="647">
        <f>+'7. Polg.Hiv.'!Q100</f>
        <v>0</v>
      </c>
      <c r="R140" s="647">
        <f>+'7. Polg.Hiv.'!R100</f>
        <v>-4085314</v>
      </c>
      <c r="S140" s="647">
        <f>+'7. Polg.Hiv.'!S100</f>
        <v>-3143714</v>
      </c>
      <c r="T140" s="778">
        <f t="shared" si="124"/>
        <v>-2.5049555859814585E-2</v>
      </c>
      <c r="U140" s="648"/>
      <c r="V140" s="494"/>
      <c r="W140" s="494"/>
    </row>
    <row r="141" spans="1:23" x14ac:dyDescent="0.25">
      <c r="A141" s="593"/>
      <c r="B141" s="655" t="str">
        <f t="shared" si="123"/>
        <v>Wass Albert Művelődési Központ és Könyvtár</v>
      </c>
      <c r="C141" s="770">
        <f>+'8. WAMKK'!C100</f>
        <v>31393194</v>
      </c>
      <c r="D141" s="647">
        <f>+'8. WAMKK'!D100</f>
        <v>31393194</v>
      </c>
      <c r="E141" s="647">
        <f>+'8. WAMKK'!E100</f>
        <v>31393194</v>
      </c>
      <c r="F141" s="775">
        <f>+'8. WAMKK'!F100</f>
        <v>27676474</v>
      </c>
      <c r="G141" s="647"/>
      <c r="H141" s="770">
        <f>+'8. WAMKK'!H100</f>
        <v>14273037</v>
      </c>
      <c r="I141" s="647">
        <f>+'8. WAMKK'!I100</f>
        <v>22420772</v>
      </c>
      <c r="J141" s="647">
        <f>+'8. WAMKK'!J100</f>
        <v>27676474</v>
      </c>
      <c r="K141" s="647"/>
      <c r="L141" s="658">
        <f t="shared" si="82"/>
        <v>0.45465386542063863</v>
      </c>
      <c r="M141" s="658">
        <f t="shared" si="83"/>
        <v>0.71419212712156654</v>
      </c>
      <c r="N141" s="794">
        <f t="shared" si="84"/>
        <v>1</v>
      </c>
      <c r="O141" s="647"/>
      <c r="P141" s="770">
        <f>+'8. WAMKK'!P100</f>
        <v>0</v>
      </c>
      <c r="Q141" s="647">
        <f>+'8. WAMKK'!Q100</f>
        <v>0</v>
      </c>
      <c r="R141" s="647">
        <f>+'8. WAMKK'!R100</f>
        <v>-3716720</v>
      </c>
      <c r="S141" s="647">
        <f>+'8. WAMKK'!S100</f>
        <v>-3716720</v>
      </c>
      <c r="T141" s="778">
        <f t="shared" si="124"/>
        <v>-0.11839254075262301</v>
      </c>
      <c r="U141" s="648"/>
      <c r="V141" s="494"/>
      <c r="W141" s="494"/>
    </row>
    <row r="142" spans="1:23" x14ac:dyDescent="0.25">
      <c r="A142" s="593"/>
      <c r="B142" s="655" t="str">
        <f t="shared" si="123"/>
        <v>Központi Konyha</v>
      </c>
      <c r="C142" s="770">
        <f>+'9. Közp. Konyha'!C100</f>
        <v>68143642.25</v>
      </c>
      <c r="D142" s="647">
        <f>+'9. Közp. Konyha'!D100</f>
        <v>72906142</v>
      </c>
      <c r="E142" s="647">
        <f>+'9. Közp. Konyha'!E100</f>
        <v>72906142</v>
      </c>
      <c r="F142" s="775">
        <f>+'9. Közp. Konyha'!F100</f>
        <v>74435123</v>
      </c>
      <c r="G142" s="647"/>
      <c r="H142" s="770">
        <f>+'9. Közp. Konyha'!H100</f>
        <v>40129992</v>
      </c>
      <c r="I142" s="647">
        <f>+'9. Közp. Konyha'!I100</f>
        <v>57212793</v>
      </c>
      <c r="J142" s="647">
        <f>+'9. Közp. Konyha'!J100</f>
        <v>74435123</v>
      </c>
      <c r="K142" s="647"/>
      <c r="L142" s="658">
        <f t="shared" si="82"/>
        <v>0.55043362464578083</v>
      </c>
      <c r="M142" s="658">
        <f t="shared" si="83"/>
        <v>0.78474585858623547</v>
      </c>
      <c r="N142" s="794">
        <f t="shared" si="84"/>
        <v>1</v>
      </c>
      <c r="O142" s="647"/>
      <c r="P142" s="770">
        <f>+'9. Közp. Konyha'!P100</f>
        <v>4762499.75</v>
      </c>
      <c r="Q142" s="647">
        <f>+'9. Közp. Konyha'!Q100</f>
        <v>0</v>
      </c>
      <c r="R142" s="647">
        <f>+'9. Közp. Konyha'!R100</f>
        <v>1528981</v>
      </c>
      <c r="S142" s="647">
        <f>+'9. Közp. Konyha'!S100</f>
        <v>6291480.75</v>
      </c>
      <c r="T142" s="778">
        <f t="shared" si="124"/>
        <v>9.2326746006888116E-2</v>
      </c>
      <c r="U142" s="648"/>
      <c r="V142" s="494"/>
      <c r="W142" s="494"/>
    </row>
    <row r="143" spans="1:23" ht="8.1" customHeight="1" x14ac:dyDescent="0.25">
      <c r="A143" s="593"/>
      <c r="B143" s="779" t="s">
        <v>455</v>
      </c>
      <c r="C143" s="780"/>
      <c r="D143" s="781"/>
      <c r="E143" s="781"/>
      <c r="F143" s="782"/>
      <c r="G143" s="781"/>
      <c r="H143" s="780"/>
      <c r="I143" s="781"/>
      <c r="J143" s="781"/>
      <c r="K143" s="781"/>
      <c r="L143" s="783"/>
      <c r="M143" s="783"/>
      <c r="N143" s="784"/>
      <c r="O143" s="781"/>
      <c r="P143" s="780"/>
      <c r="Q143" s="781"/>
      <c r="R143" s="781"/>
      <c r="S143" s="781"/>
      <c r="T143" s="781"/>
      <c r="U143" s="648"/>
      <c r="V143" s="494"/>
      <c r="W143" s="494"/>
    </row>
    <row r="144" spans="1:23" x14ac:dyDescent="0.25">
      <c r="A144" s="593"/>
      <c r="B144" s="787" t="s">
        <v>449</v>
      </c>
      <c r="C144" s="788">
        <f>SUM(C136:C143)</f>
        <v>499153498.25</v>
      </c>
      <c r="D144" s="789">
        <f>SUM(D136:D143)</f>
        <v>504857598</v>
      </c>
      <c r="E144" s="789">
        <f>SUM(E136:E143)</f>
        <v>504857598</v>
      </c>
      <c r="F144" s="790">
        <f>SUM(F136:F143)</f>
        <v>497618769</v>
      </c>
      <c r="G144" s="789"/>
      <c r="H144" s="788">
        <f>SUM(H136:H143)</f>
        <v>253233378</v>
      </c>
      <c r="I144" s="789">
        <f>SUM(I136:I143)</f>
        <v>373794512</v>
      </c>
      <c r="J144" s="789">
        <f>SUM(J136:J143)</f>
        <v>497618769</v>
      </c>
      <c r="K144" s="789"/>
      <c r="L144" s="791">
        <f t="shared" si="82"/>
        <v>0.50159367513371567</v>
      </c>
      <c r="M144" s="791">
        <f t="shared" si="83"/>
        <v>0.74039593239913959</v>
      </c>
      <c r="N144" s="792">
        <f t="shared" si="84"/>
        <v>1</v>
      </c>
      <c r="O144" s="789"/>
      <c r="P144" s="788">
        <f>SUM(P137:P143)</f>
        <v>5704099.75</v>
      </c>
      <c r="Q144" s="789">
        <f>SUM(Q136:Q143)</f>
        <v>0</v>
      </c>
      <c r="R144" s="789">
        <f>SUM(R136:R143)</f>
        <v>-7238829</v>
      </c>
      <c r="S144" s="789">
        <f>SUM(S136:S143)</f>
        <v>-1534729.25</v>
      </c>
      <c r="T144" s="793">
        <f t="shared" si="124"/>
        <v>-3.0746639167724193E-3</v>
      </c>
      <c r="U144" s="648"/>
      <c r="V144" s="494"/>
      <c r="W144" s="494"/>
    </row>
    <row r="145" spans="1:23" x14ac:dyDescent="0.25">
      <c r="A145" s="593"/>
      <c r="B145" s="593"/>
      <c r="C145" s="799"/>
      <c r="D145" s="800"/>
      <c r="E145" s="800"/>
      <c r="F145" s="801"/>
      <c r="G145" s="653"/>
      <c r="H145" s="799"/>
      <c r="I145" s="800"/>
      <c r="J145" s="800"/>
      <c r="K145" s="800"/>
      <c r="L145" s="810"/>
      <c r="M145" s="810"/>
      <c r="N145" s="811"/>
      <c r="O145" s="653"/>
      <c r="P145" s="799"/>
      <c r="Q145" s="804"/>
      <c r="R145" s="804"/>
      <c r="S145" s="804"/>
      <c r="T145" s="804"/>
      <c r="U145" s="653"/>
      <c r="V145" s="494"/>
      <c r="W145" s="494"/>
    </row>
    <row r="146" spans="1:23" x14ac:dyDescent="0.25">
      <c r="A146" s="593"/>
      <c r="B146" s="593"/>
      <c r="C146" s="653"/>
      <c r="D146" s="653"/>
      <c r="E146" s="653"/>
      <c r="F146" s="653"/>
      <c r="G146" s="653"/>
      <c r="H146" s="593"/>
      <c r="I146" s="653"/>
      <c r="J146" s="653"/>
      <c r="K146" s="653"/>
      <c r="L146" s="658"/>
      <c r="M146" s="658"/>
      <c r="N146" s="658"/>
      <c r="O146" s="653"/>
      <c r="P146" s="593"/>
      <c r="Q146" s="593"/>
      <c r="R146" s="593"/>
      <c r="S146" s="593"/>
      <c r="T146" s="593"/>
      <c r="U146" s="653"/>
      <c r="V146" s="494"/>
      <c r="W146" s="494"/>
    </row>
    <row r="147" spans="1:23" x14ac:dyDescent="0.25">
      <c r="A147" s="593"/>
      <c r="B147" s="593"/>
      <c r="C147" s="653"/>
      <c r="D147" s="653"/>
      <c r="E147" s="653"/>
      <c r="F147" s="653"/>
      <c r="G147" s="653"/>
      <c r="H147" s="593"/>
      <c r="I147" s="653"/>
      <c r="J147" s="653"/>
      <c r="K147" s="653"/>
      <c r="L147" s="658"/>
      <c r="M147" s="658"/>
      <c r="N147" s="658"/>
      <c r="O147" s="653"/>
      <c r="P147" s="593"/>
      <c r="Q147" s="593"/>
      <c r="R147" s="593"/>
      <c r="S147" s="593"/>
      <c r="T147" s="593"/>
      <c r="U147" s="653"/>
      <c r="V147" s="494"/>
      <c r="W147" s="494"/>
    </row>
    <row r="148" spans="1:23" x14ac:dyDescent="0.25">
      <c r="C148" s="16"/>
      <c r="L148" s="484"/>
      <c r="M148" s="484"/>
      <c r="N148" s="484"/>
    </row>
    <row r="149" spans="1:23" x14ac:dyDescent="0.25">
      <c r="C149" s="16"/>
      <c r="L149" s="484"/>
      <c r="M149" s="484"/>
      <c r="N149" s="484"/>
    </row>
    <row r="150" spans="1:23" x14ac:dyDescent="0.25">
      <c r="C150" s="16"/>
      <c r="L150" s="484"/>
      <c r="M150" s="484"/>
      <c r="N150" s="484"/>
    </row>
    <row r="151" spans="1:23" x14ac:dyDescent="0.25">
      <c r="C151" s="16"/>
      <c r="L151" s="484"/>
      <c r="M151" s="484"/>
      <c r="N151" s="484"/>
    </row>
    <row r="152" spans="1:23" x14ac:dyDescent="0.25">
      <c r="C152" s="16"/>
      <c r="L152" s="484"/>
      <c r="M152" s="484"/>
      <c r="N152" s="484"/>
    </row>
  </sheetData>
  <mergeCells count="5">
    <mergeCell ref="C7:F7"/>
    <mergeCell ref="H7:N7"/>
    <mergeCell ref="P7:T7"/>
    <mergeCell ref="H8:J8"/>
    <mergeCell ref="L8:N8"/>
  </mergeCells>
  <printOptions horizontalCentered="1"/>
  <pageMargins left="0" right="0" top="0.94488188976377963" bottom="0" header="0.31496062992125984" footer="0.31496062992125984"/>
  <pageSetup paperSize="8" scale="76" fitToHeight="0" orientation="landscape" r:id="rId1"/>
  <headerFooter>
    <oddHeader>&amp;R&amp;"Arial,Félkövér dőlt"&amp;A  /&amp;"Arial,Normál"
&amp;"Arial,Dőlt"&amp;8&amp;F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A2" sqref="A2"/>
    </sheetView>
  </sheetViews>
  <sheetFormatPr defaultRowHeight="13.2" x14ac:dyDescent="0.25"/>
  <cols>
    <col min="1" max="1" width="8.33203125" customWidth="1"/>
    <col min="2" max="2" width="41" customWidth="1"/>
    <col min="3" max="5" width="32.6640625" customWidth="1"/>
    <col min="257" max="257" width="8.33203125" customWidth="1"/>
    <col min="258" max="258" width="41" customWidth="1"/>
    <col min="259" max="261" width="32.6640625" customWidth="1"/>
    <col min="513" max="513" width="8.33203125" customWidth="1"/>
    <col min="514" max="514" width="41" customWidth="1"/>
    <col min="515" max="517" width="32.6640625" customWidth="1"/>
    <col min="769" max="769" width="8.33203125" customWidth="1"/>
    <col min="770" max="770" width="41" customWidth="1"/>
    <col min="771" max="773" width="32.6640625" customWidth="1"/>
    <col min="1025" max="1025" width="8.33203125" customWidth="1"/>
    <col min="1026" max="1026" width="41" customWidth="1"/>
    <col min="1027" max="1029" width="32.6640625" customWidth="1"/>
    <col min="1281" max="1281" width="8.33203125" customWidth="1"/>
    <col min="1282" max="1282" width="41" customWidth="1"/>
    <col min="1283" max="1285" width="32.6640625" customWidth="1"/>
    <col min="1537" max="1537" width="8.33203125" customWidth="1"/>
    <col min="1538" max="1538" width="41" customWidth="1"/>
    <col min="1539" max="1541" width="32.6640625" customWidth="1"/>
    <col min="1793" max="1793" width="8.33203125" customWidth="1"/>
    <col min="1794" max="1794" width="41" customWidth="1"/>
    <col min="1795" max="1797" width="32.6640625" customWidth="1"/>
    <col min="2049" max="2049" width="8.33203125" customWidth="1"/>
    <col min="2050" max="2050" width="41" customWidth="1"/>
    <col min="2051" max="2053" width="32.6640625" customWidth="1"/>
    <col min="2305" max="2305" width="8.33203125" customWidth="1"/>
    <col min="2306" max="2306" width="41" customWidth="1"/>
    <col min="2307" max="2309" width="32.6640625" customWidth="1"/>
    <col min="2561" max="2561" width="8.33203125" customWidth="1"/>
    <col min="2562" max="2562" width="41" customWidth="1"/>
    <col min="2563" max="2565" width="32.6640625" customWidth="1"/>
    <col min="2817" max="2817" width="8.33203125" customWidth="1"/>
    <col min="2818" max="2818" width="41" customWidth="1"/>
    <col min="2819" max="2821" width="32.6640625" customWidth="1"/>
    <col min="3073" max="3073" width="8.33203125" customWidth="1"/>
    <col min="3074" max="3074" width="41" customWidth="1"/>
    <col min="3075" max="3077" width="32.6640625" customWidth="1"/>
    <col min="3329" max="3329" width="8.33203125" customWidth="1"/>
    <col min="3330" max="3330" width="41" customWidth="1"/>
    <col min="3331" max="3333" width="32.6640625" customWidth="1"/>
    <col min="3585" max="3585" width="8.33203125" customWidth="1"/>
    <col min="3586" max="3586" width="41" customWidth="1"/>
    <col min="3587" max="3589" width="32.6640625" customWidth="1"/>
    <col min="3841" max="3841" width="8.33203125" customWidth="1"/>
    <col min="3842" max="3842" width="41" customWidth="1"/>
    <col min="3843" max="3845" width="32.6640625" customWidth="1"/>
    <col min="4097" max="4097" width="8.33203125" customWidth="1"/>
    <col min="4098" max="4098" width="41" customWidth="1"/>
    <col min="4099" max="4101" width="32.6640625" customWidth="1"/>
    <col min="4353" max="4353" width="8.33203125" customWidth="1"/>
    <col min="4354" max="4354" width="41" customWidth="1"/>
    <col min="4355" max="4357" width="32.6640625" customWidth="1"/>
    <col min="4609" max="4609" width="8.33203125" customWidth="1"/>
    <col min="4610" max="4610" width="41" customWidth="1"/>
    <col min="4611" max="4613" width="32.6640625" customWidth="1"/>
    <col min="4865" max="4865" width="8.33203125" customWidth="1"/>
    <col min="4866" max="4866" width="41" customWidth="1"/>
    <col min="4867" max="4869" width="32.6640625" customWidth="1"/>
    <col min="5121" max="5121" width="8.33203125" customWidth="1"/>
    <col min="5122" max="5122" width="41" customWidth="1"/>
    <col min="5123" max="5125" width="32.6640625" customWidth="1"/>
    <col min="5377" max="5377" width="8.33203125" customWidth="1"/>
    <col min="5378" max="5378" width="41" customWidth="1"/>
    <col min="5379" max="5381" width="32.6640625" customWidth="1"/>
    <col min="5633" max="5633" width="8.33203125" customWidth="1"/>
    <col min="5634" max="5634" width="41" customWidth="1"/>
    <col min="5635" max="5637" width="32.6640625" customWidth="1"/>
    <col min="5889" max="5889" width="8.33203125" customWidth="1"/>
    <col min="5890" max="5890" width="41" customWidth="1"/>
    <col min="5891" max="5893" width="32.6640625" customWidth="1"/>
    <col min="6145" max="6145" width="8.33203125" customWidth="1"/>
    <col min="6146" max="6146" width="41" customWidth="1"/>
    <col min="6147" max="6149" width="32.6640625" customWidth="1"/>
    <col min="6401" max="6401" width="8.33203125" customWidth="1"/>
    <col min="6402" max="6402" width="41" customWidth="1"/>
    <col min="6403" max="6405" width="32.6640625" customWidth="1"/>
    <col min="6657" max="6657" width="8.33203125" customWidth="1"/>
    <col min="6658" max="6658" width="41" customWidth="1"/>
    <col min="6659" max="6661" width="32.6640625" customWidth="1"/>
    <col min="6913" max="6913" width="8.33203125" customWidth="1"/>
    <col min="6914" max="6914" width="41" customWidth="1"/>
    <col min="6915" max="6917" width="32.6640625" customWidth="1"/>
    <col min="7169" max="7169" width="8.33203125" customWidth="1"/>
    <col min="7170" max="7170" width="41" customWidth="1"/>
    <col min="7171" max="7173" width="32.6640625" customWidth="1"/>
    <col min="7425" max="7425" width="8.33203125" customWidth="1"/>
    <col min="7426" max="7426" width="41" customWidth="1"/>
    <col min="7427" max="7429" width="32.6640625" customWidth="1"/>
    <col min="7681" max="7681" width="8.33203125" customWidth="1"/>
    <col min="7682" max="7682" width="41" customWidth="1"/>
    <col min="7683" max="7685" width="32.6640625" customWidth="1"/>
    <col min="7937" max="7937" width="8.33203125" customWidth="1"/>
    <col min="7938" max="7938" width="41" customWidth="1"/>
    <col min="7939" max="7941" width="32.6640625" customWidth="1"/>
    <col min="8193" max="8193" width="8.33203125" customWidth="1"/>
    <col min="8194" max="8194" width="41" customWidth="1"/>
    <col min="8195" max="8197" width="32.6640625" customWidth="1"/>
    <col min="8449" max="8449" width="8.33203125" customWidth="1"/>
    <col min="8450" max="8450" width="41" customWidth="1"/>
    <col min="8451" max="8453" width="32.6640625" customWidth="1"/>
    <col min="8705" max="8705" width="8.33203125" customWidth="1"/>
    <col min="8706" max="8706" width="41" customWidth="1"/>
    <col min="8707" max="8709" width="32.6640625" customWidth="1"/>
    <col min="8961" max="8961" width="8.33203125" customWidth="1"/>
    <col min="8962" max="8962" width="41" customWidth="1"/>
    <col min="8963" max="8965" width="32.6640625" customWidth="1"/>
    <col min="9217" max="9217" width="8.33203125" customWidth="1"/>
    <col min="9218" max="9218" width="41" customWidth="1"/>
    <col min="9219" max="9221" width="32.6640625" customWidth="1"/>
    <col min="9473" max="9473" width="8.33203125" customWidth="1"/>
    <col min="9474" max="9474" width="41" customWidth="1"/>
    <col min="9475" max="9477" width="32.6640625" customWidth="1"/>
    <col min="9729" max="9729" width="8.33203125" customWidth="1"/>
    <col min="9730" max="9730" width="41" customWidth="1"/>
    <col min="9731" max="9733" width="32.6640625" customWidth="1"/>
    <col min="9985" max="9985" width="8.33203125" customWidth="1"/>
    <col min="9986" max="9986" width="41" customWidth="1"/>
    <col min="9987" max="9989" width="32.6640625" customWidth="1"/>
    <col min="10241" max="10241" width="8.33203125" customWidth="1"/>
    <col min="10242" max="10242" width="41" customWidth="1"/>
    <col min="10243" max="10245" width="32.6640625" customWidth="1"/>
    <col min="10497" max="10497" width="8.33203125" customWidth="1"/>
    <col min="10498" max="10498" width="41" customWidth="1"/>
    <col min="10499" max="10501" width="32.6640625" customWidth="1"/>
    <col min="10753" max="10753" width="8.33203125" customWidth="1"/>
    <col min="10754" max="10754" width="41" customWidth="1"/>
    <col min="10755" max="10757" width="32.6640625" customWidth="1"/>
    <col min="11009" max="11009" width="8.33203125" customWidth="1"/>
    <col min="11010" max="11010" width="41" customWidth="1"/>
    <col min="11011" max="11013" width="32.6640625" customWidth="1"/>
    <col min="11265" max="11265" width="8.33203125" customWidth="1"/>
    <col min="11266" max="11266" width="41" customWidth="1"/>
    <col min="11267" max="11269" width="32.6640625" customWidth="1"/>
    <col min="11521" max="11521" width="8.33203125" customWidth="1"/>
    <col min="11522" max="11522" width="41" customWidth="1"/>
    <col min="11523" max="11525" width="32.6640625" customWidth="1"/>
    <col min="11777" max="11777" width="8.33203125" customWidth="1"/>
    <col min="11778" max="11778" width="41" customWidth="1"/>
    <col min="11779" max="11781" width="32.6640625" customWidth="1"/>
    <col min="12033" max="12033" width="8.33203125" customWidth="1"/>
    <col min="12034" max="12034" width="41" customWidth="1"/>
    <col min="12035" max="12037" width="32.6640625" customWidth="1"/>
    <col min="12289" max="12289" width="8.33203125" customWidth="1"/>
    <col min="12290" max="12290" width="41" customWidth="1"/>
    <col min="12291" max="12293" width="32.6640625" customWidth="1"/>
    <col min="12545" max="12545" width="8.33203125" customWidth="1"/>
    <col min="12546" max="12546" width="41" customWidth="1"/>
    <col min="12547" max="12549" width="32.6640625" customWidth="1"/>
    <col min="12801" max="12801" width="8.33203125" customWidth="1"/>
    <col min="12802" max="12802" width="41" customWidth="1"/>
    <col min="12803" max="12805" width="32.6640625" customWidth="1"/>
    <col min="13057" max="13057" width="8.33203125" customWidth="1"/>
    <col min="13058" max="13058" width="41" customWidth="1"/>
    <col min="13059" max="13061" width="32.6640625" customWidth="1"/>
    <col min="13313" max="13313" width="8.33203125" customWidth="1"/>
    <col min="13314" max="13314" width="41" customWidth="1"/>
    <col min="13315" max="13317" width="32.6640625" customWidth="1"/>
    <col min="13569" max="13569" width="8.33203125" customWidth="1"/>
    <col min="13570" max="13570" width="41" customWidth="1"/>
    <col min="13571" max="13573" width="32.6640625" customWidth="1"/>
    <col min="13825" max="13825" width="8.33203125" customWidth="1"/>
    <col min="13826" max="13826" width="41" customWidth="1"/>
    <col min="13827" max="13829" width="32.6640625" customWidth="1"/>
    <col min="14081" max="14081" width="8.33203125" customWidth="1"/>
    <col min="14082" max="14082" width="41" customWidth="1"/>
    <col min="14083" max="14085" width="32.6640625" customWidth="1"/>
    <col min="14337" max="14337" width="8.33203125" customWidth="1"/>
    <col min="14338" max="14338" width="41" customWidth="1"/>
    <col min="14339" max="14341" width="32.6640625" customWidth="1"/>
    <col min="14593" max="14593" width="8.33203125" customWidth="1"/>
    <col min="14594" max="14594" width="41" customWidth="1"/>
    <col min="14595" max="14597" width="32.6640625" customWidth="1"/>
    <col min="14849" max="14849" width="8.33203125" customWidth="1"/>
    <col min="14850" max="14850" width="41" customWidth="1"/>
    <col min="14851" max="14853" width="32.6640625" customWidth="1"/>
    <col min="15105" max="15105" width="8.33203125" customWidth="1"/>
    <col min="15106" max="15106" width="41" customWidth="1"/>
    <col min="15107" max="15109" width="32.6640625" customWidth="1"/>
    <col min="15361" max="15361" width="8.33203125" customWidth="1"/>
    <col min="15362" max="15362" width="41" customWidth="1"/>
    <col min="15363" max="15365" width="32.6640625" customWidth="1"/>
    <col min="15617" max="15617" width="8.33203125" customWidth="1"/>
    <col min="15618" max="15618" width="41" customWidth="1"/>
    <col min="15619" max="15621" width="32.6640625" customWidth="1"/>
    <col min="15873" max="15873" width="8.33203125" customWidth="1"/>
    <col min="15874" max="15874" width="41" customWidth="1"/>
    <col min="15875" max="15877" width="32.6640625" customWidth="1"/>
    <col min="16129" max="16129" width="8.33203125" customWidth="1"/>
    <col min="16130" max="16130" width="41" customWidth="1"/>
    <col min="16131" max="16133" width="32.6640625" customWidth="1"/>
  </cols>
  <sheetData>
    <row r="1" spans="1:5" ht="18" customHeight="1" thickBot="1" x14ac:dyDescent="0.3">
      <c r="A1" s="1144" t="s">
        <v>1254</v>
      </c>
      <c r="B1" s="1145"/>
      <c r="C1" s="1145"/>
      <c r="D1" s="1145"/>
      <c r="E1" s="1146"/>
    </row>
    <row r="2" spans="1:5" ht="15" x14ac:dyDescent="0.25">
      <c r="A2" s="235"/>
      <c r="B2" s="236" t="s">
        <v>373</v>
      </c>
      <c r="C2" s="236" t="s">
        <v>792</v>
      </c>
      <c r="D2" s="236" t="s">
        <v>793</v>
      </c>
      <c r="E2" s="237" t="s">
        <v>794</v>
      </c>
    </row>
    <row r="3" spans="1:5" ht="22.95" customHeight="1" thickBot="1" x14ac:dyDescent="0.3">
      <c r="A3" s="232">
        <v>1</v>
      </c>
      <c r="B3" s="233">
        <v>2</v>
      </c>
      <c r="C3" s="233">
        <v>3</v>
      </c>
      <c r="D3" s="233">
        <v>4</v>
      </c>
      <c r="E3" s="234">
        <v>5</v>
      </c>
    </row>
    <row r="4" spans="1:5" x14ac:dyDescent="0.25">
      <c r="A4" s="228" t="s">
        <v>522</v>
      </c>
      <c r="B4" s="229" t="s">
        <v>1209</v>
      </c>
      <c r="C4" s="230">
        <v>212226941</v>
      </c>
      <c r="D4" s="230">
        <v>0</v>
      </c>
      <c r="E4" s="231">
        <v>235225956</v>
      </c>
    </row>
    <row r="5" spans="1:5" ht="26.4" x14ac:dyDescent="0.25">
      <c r="A5" s="221" t="s">
        <v>524</v>
      </c>
      <c r="B5" s="217" t="s">
        <v>1210</v>
      </c>
      <c r="C5" s="218">
        <v>87348378</v>
      </c>
      <c r="D5" s="218">
        <v>0</v>
      </c>
      <c r="E5" s="222">
        <v>101184695</v>
      </c>
    </row>
    <row r="6" spans="1:5" ht="26.4" x14ac:dyDescent="0.25">
      <c r="A6" s="221" t="s">
        <v>526</v>
      </c>
      <c r="B6" s="217" t="s">
        <v>1211</v>
      </c>
      <c r="C6" s="218">
        <v>188860</v>
      </c>
      <c r="D6" s="218">
        <v>0</v>
      </c>
      <c r="E6" s="222">
        <v>0</v>
      </c>
    </row>
    <row r="7" spans="1:5" ht="26.4" x14ac:dyDescent="0.25">
      <c r="A7" s="223" t="s">
        <v>528</v>
      </c>
      <c r="B7" s="219" t="s">
        <v>1212</v>
      </c>
      <c r="C7" s="220">
        <v>299764179</v>
      </c>
      <c r="D7" s="220">
        <v>0</v>
      </c>
      <c r="E7" s="224">
        <v>336410651</v>
      </c>
    </row>
    <row r="8" spans="1:5" x14ac:dyDescent="0.25">
      <c r="A8" s="221" t="s">
        <v>530</v>
      </c>
      <c r="B8" s="217" t="s">
        <v>1213</v>
      </c>
      <c r="C8" s="218">
        <v>2876690</v>
      </c>
      <c r="D8" s="218">
        <v>0</v>
      </c>
      <c r="E8" s="222">
        <v>-179186</v>
      </c>
    </row>
    <row r="9" spans="1:5" x14ac:dyDescent="0.25">
      <c r="A9" s="221" t="s">
        <v>532</v>
      </c>
      <c r="B9" s="217" t="s">
        <v>1214</v>
      </c>
      <c r="C9" s="218">
        <v>27719850</v>
      </c>
      <c r="D9" s="218">
        <v>0</v>
      </c>
      <c r="E9" s="222">
        <v>14030299</v>
      </c>
    </row>
    <row r="10" spans="1:5" ht="26.4" x14ac:dyDescent="0.25">
      <c r="A10" s="223" t="s">
        <v>534</v>
      </c>
      <c r="B10" s="219" t="s">
        <v>1215</v>
      </c>
      <c r="C10" s="220">
        <v>30596540</v>
      </c>
      <c r="D10" s="220">
        <v>0</v>
      </c>
      <c r="E10" s="224">
        <v>13851113</v>
      </c>
    </row>
    <row r="11" spans="1:5" ht="26.4" x14ac:dyDescent="0.25">
      <c r="A11" s="221" t="s">
        <v>536</v>
      </c>
      <c r="B11" s="217" t="s">
        <v>1216</v>
      </c>
      <c r="C11" s="218">
        <v>1007707280</v>
      </c>
      <c r="D11" s="218">
        <v>0</v>
      </c>
      <c r="E11" s="222">
        <v>1045278145</v>
      </c>
    </row>
    <row r="12" spans="1:5" ht="26.4" x14ac:dyDescent="0.25">
      <c r="A12" s="221" t="s">
        <v>538</v>
      </c>
      <c r="B12" s="217" t="s">
        <v>1217</v>
      </c>
      <c r="C12" s="218">
        <v>98909003</v>
      </c>
      <c r="D12" s="218">
        <v>0</v>
      </c>
      <c r="E12" s="222">
        <v>74904909</v>
      </c>
    </row>
    <row r="13" spans="1:5" ht="26.4" x14ac:dyDescent="0.25">
      <c r="A13" s="221" t="s">
        <v>540</v>
      </c>
      <c r="B13" s="217" t="s">
        <v>1218</v>
      </c>
      <c r="C13" s="218">
        <v>169898844</v>
      </c>
      <c r="D13" s="218">
        <v>0</v>
      </c>
      <c r="E13" s="222">
        <v>127987397</v>
      </c>
    </row>
    <row r="14" spans="1:5" ht="26.4" x14ac:dyDescent="0.25">
      <c r="A14" s="221" t="s">
        <v>542</v>
      </c>
      <c r="B14" s="217" t="s">
        <v>1219</v>
      </c>
      <c r="C14" s="218">
        <v>293339137</v>
      </c>
      <c r="D14" s="218">
        <v>0</v>
      </c>
      <c r="E14" s="222">
        <v>72001800</v>
      </c>
    </row>
    <row r="15" spans="1:5" ht="26.4" x14ac:dyDescent="0.25">
      <c r="A15" s="223" t="s">
        <v>544</v>
      </c>
      <c r="B15" s="219" t="s">
        <v>1220</v>
      </c>
      <c r="C15" s="220">
        <v>1569854264</v>
      </c>
      <c r="D15" s="220">
        <v>0</v>
      </c>
      <c r="E15" s="224">
        <v>1320172251</v>
      </c>
    </row>
    <row r="16" spans="1:5" x14ac:dyDescent="0.25">
      <c r="A16" s="221" t="s">
        <v>546</v>
      </c>
      <c r="B16" s="217" t="s">
        <v>1221</v>
      </c>
      <c r="C16" s="218">
        <v>72022058</v>
      </c>
      <c r="D16" s="218">
        <v>0</v>
      </c>
      <c r="E16" s="222">
        <v>79865032</v>
      </c>
    </row>
    <row r="17" spans="1:5" x14ac:dyDescent="0.25">
      <c r="A17" s="221" t="s">
        <v>548</v>
      </c>
      <c r="B17" s="217" t="s">
        <v>1222</v>
      </c>
      <c r="C17" s="218">
        <v>126666559</v>
      </c>
      <c r="D17" s="218">
        <v>0</v>
      </c>
      <c r="E17" s="222">
        <v>159838418</v>
      </c>
    </row>
    <row r="18" spans="1:5" x14ac:dyDescent="0.25">
      <c r="A18" s="221" t="s">
        <v>550</v>
      </c>
      <c r="B18" s="217" t="s">
        <v>1223</v>
      </c>
      <c r="C18" s="218">
        <v>74193442</v>
      </c>
      <c r="D18" s="218">
        <v>0</v>
      </c>
      <c r="E18" s="222">
        <v>0</v>
      </c>
    </row>
    <row r="19" spans="1:5" x14ac:dyDescent="0.25">
      <c r="A19" s="221" t="s">
        <v>552</v>
      </c>
      <c r="B19" s="217" t="s">
        <v>1224</v>
      </c>
      <c r="C19" s="218">
        <v>20512801</v>
      </c>
      <c r="D19" s="218">
        <v>0</v>
      </c>
      <c r="E19" s="222">
        <v>20961765</v>
      </c>
    </row>
    <row r="20" spans="1:5" x14ac:dyDescent="0.25">
      <c r="A20" s="223" t="s">
        <v>554</v>
      </c>
      <c r="B20" s="219" t="s">
        <v>1225</v>
      </c>
      <c r="C20" s="220">
        <v>293394860</v>
      </c>
      <c r="D20" s="220">
        <v>0</v>
      </c>
      <c r="E20" s="224">
        <v>260665215</v>
      </c>
    </row>
    <row r="21" spans="1:5" x14ac:dyDescent="0.25">
      <c r="A21" s="221" t="s">
        <v>556</v>
      </c>
      <c r="B21" s="217" t="s">
        <v>1226</v>
      </c>
      <c r="C21" s="218">
        <v>361030015</v>
      </c>
      <c r="D21" s="218">
        <v>0</v>
      </c>
      <c r="E21" s="222">
        <v>368330412</v>
      </c>
    </row>
    <row r="22" spans="1:5" x14ac:dyDescent="0.25">
      <c r="A22" s="221" t="s">
        <v>558</v>
      </c>
      <c r="B22" s="217" t="s">
        <v>1227</v>
      </c>
      <c r="C22" s="218">
        <v>59970191</v>
      </c>
      <c r="D22" s="218">
        <v>0</v>
      </c>
      <c r="E22" s="222">
        <v>58421999</v>
      </c>
    </row>
    <row r="23" spans="1:5" x14ac:dyDescent="0.25">
      <c r="A23" s="221" t="s">
        <v>560</v>
      </c>
      <c r="B23" s="217" t="s">
        <v>1228</v>
      </c>
      <c r="C23" s="218">
        <v>91791154</v>
      </c>
      <c r="D23" s="218">
        <v>0</v>
      </c>
      <c r="E23" s="222">
        <v>84519956</v>
      </c>
    </row>
    <row r="24" spans="1:5" x14ac:dyDescent="0.25">
      <c r="A24" s="223" t="s">
        <v>562</v>
      </c>
      <c r="B24" s="219" t="s">
        <v>1229</v>
      </c>
      <c r="C24" s="220">
        <v>512791360</v>
      </c>
      <c r="D24" s="220">
        <v>0</v>
      </c>
      <c r="E24" s="224">
        <v>511272367</v>
      </c>
    </row>
    <row r="25" spans="1:5" x14ac:dyDescent="0.25">
      <c r="A25" s="223" t="s">
        <v>564</v>
      </c>
      <c r="B25" s="219" t="s">
        <v>1230</v>
      </c>
      <c r="C25" s="220">
        <v>189263630</v>
      </c>
      <c r="D25" s="220">
        <v>0</v>
      </c>
      <c r="E25" s="224">
        <v>194814189</v>
      </c>
    </row>
    <row r="26" spans="1:5" x14ac:dyDescent="0.25">
      <c r="A26" s="223" t="s">
        <v>566</v>
      </c>
      <c r="B26" s="219" t="s">
        <v>1231</v>
      </c>
      <c r="C26" s="220">
        <v>856022071</v>
      </c>
      <c r="D26" s="220">
        <v>0</v>
      </c>
      <c r="E26" s="224">
        <v>732542322</v>
      </c>
    </row>
    <row r="27" spans="1:5" ht="26.4" x14ac:dyDescent="0.25">
      <c r="A27" s="223" t="s">
        <v>568</v>
      </c>
      <c r="B27" s="219" t="s">
        <v>1232</v>
      </c>
      <c r="C27" s="220">
        <v>48743062</v>
      </c>
      <c r="D27" s="220">
        <v>0</v>
      </c>
      <c r="E27" s="224">
        <v>-28860078</v>
      </c>
    </row>
    <row r="28" spans="1:5" x14ac:dyDescent="0.25">
      <c r="A28" s="221" t="s">
        <v>570</v>
      </c>
      <c r="B28" s="217" t="s">
        <v>1238</v>
      </c>
      <c r="C28" s="218">
        <v>0</v>
      </c>
      <c r="D28" s="218">
        <v>0</v>
      </c>
      <c r="E28" s="222">
        <v>0</v>
      </c>
    </row>
    <row r="29" spans="1:5" ht="39.6" x14ac:dyDescent="0.25">
      <c r="A29" s="221" t="s">
        <v>572</v>
      </c>
      <c r="B29" s="217" t="s">
        <v>1239</v>
      </c>
      <c r="C29" s="218">
        <v>0</v>
      </c>
      <c r="D29" s="218">
        <v>0</v>
      </c>
      <c r="E29" s="222">
        <v>0</v>
      </c>
    </row>
    <row r="30" spans="1:5" ht="39.6" x14ac:dyDescent="0.25">
      <c r="A30" s="221" t="s">
        <v>574</v>
      </c>
      <c r="B30" s="217" t="s">
        <v>1240</v>
      </c>
      <c r="C30" s="218">
        <v>0</v>
      </c>
      <c r="D30" s="218">
        <v>0</v>
      </c>
      <c r="E30" s="222">
        <v>0</v>
      </c>
    </row>
    <row r="31" spans="1:5" ht="26.4" x14ac:dyDescent="0.25">
      <c r="A31" s="221" t="s">
        <v>576</v>
      </c>
      <c r="B31" s="217" t="s">
        <v>1233</v>
      </c>
      <c r="C31" s="218">
        <v>2717477</v>
      </c>
      <c r="D31" s="218">
        <v>0</v>
      </c>
      <c r="E31" s="222">
        <v>49042</v>
      </c>
    </row>
    <row r="32" spans="1:5" ht="26.4" x14ac:dyDescent="0.25">
      <c r="A32" s="221" t="s">
        <v>578</v>
      </c>
      <c r="B32" s="217" t="s">
        <v>1241</v>
      </c>
      <c r="C32" s="218">
        <v>0</v>
      </c>
      <c r="D32" s="218">
        <v>0</v>
      </c>
      <c r="E32" s="222">
        <v>0</v>
      </c>
    </row>
    <row r="33" spans="1:5" ht="39.6" x14ac:dyDescent="0.25">
      <c r="A33" s="221" t="s">
        <v>580</v>
      </c>
      <c r="B33" s="217" t="s">
        <v>1242</v>
      </c>
      <c r="C33" s="218">
        <v>0</v>
      </c>
      <c r="D33" s="218">
        <v>0</v>
      </c>
      <c r="E33" s="222">
        <v>0</v>
      </c>
    </row>
    <row r="34" spans="1:5" ht="52.8" x14ac:dyDescent="0.25">
      <c r="A34" s="221" t="s">
        <v>582</v>
      </c>
      <c r="B34" s="217" t="s">
        <v>1243</v>
      </c>
      <c r="C34" s="218">
        <v>0</v>
      </c>
      <c r="D34" s="218">
        <v>0</v>
      </c>
      <c r="E34" s="222">
        <v>0</v>
      </c>
    </row>
    <row r="35" spans="1:5" ht="26.4" x14ac:dyDescent="0.25">
      <c r="A35" s="223" t="s">
        <v>584</v>
      </c>
      <c r="B35" s="219" t="s">
        <v>1234</v>
      </c>
      <c r="C35" s="220">
        <v>2717477</v>
      </c>
      <c r="D35" s="220">
        <v>0</v>
      </c>
      <c r="E35" s="224">
        <v>49042</v>
      </c>
    </row>
    <row r="36" spans="1:5" ht="26.4" x14ac:dyDescent="0.25">
      <c r="A36" s="221" t="s">
        <v>586</v>
      </c>
      <c r="B36" s="217" t="s">
        <v>1244</v>
      </c>
      <c r="C36" s="218">
        <v>0</v>
      </c>
      <c r="D36" s="218">
        <v>0</v>
      </c>
      <c r="E36" s="222">
        <v>0</v>
      </c>
    </row>
    <row r="37" spans="1:5" ht="39.6" x14ac:dyDescent="0.25">
      <c r="A37" s="221" t="s">
        <v>588</v>
      </c>
      <c r="B37" s="217" t="s">
        <v>1245</v>
      </c>
      <c r="C37" s="218">
        <v>0</v>
      </c>
      <c r="D37" s="218">
        <v>0</v>
      </c>
      <c r="E37" s="222">
        <v>0</v>
      </c>
    </row>
    <row r="38" spans="1:5" ht="26.4" x14ac:dyDescent="0.25">
      <c r="A38" s="221" t="s">
        <v>590</v>
      </c>
      <c r="B38" s="217" t="s">
        <v>1246</v>
      </c>
      <c r="C38" s="218">
        <v>0</v>
      </c>
      <c r="D38" s="218">
        <v>0</v>
      </c>
      <c r="E38" s="222">
        <v>0</v>
      </c>
    </row>
    <row r="39" spans="1:5" ht="26.4" x14ac:dyDescent="0.25">
      <c r="A39" s="221" t="s">
        <v>592</v>
      </c>
      <c r="B39" s="217" t="s">
        <v>1247</v>
      </c>
      <c r="C39" s="218">
        <v>0</v>
      </c>
      <c r="D39" s="218">
        <v>0</v>
      </c>
      <c r="E39" s="222">
        <v>0</v>
      </c>
    </row>
    <row r="40" spans="1:5" x14ac:dyDescent="0.25">
      <c r="A40" s="221" t="s">
        <v>594</v>
      </c>
      <c r="B40" s="217" t="s">
        <v>1248</v>
      </c>
      <c r="C40" s="218">
        <v>0</v>
      </c>
      <c r="D40" s="218">
        <v>0</v>
      </c>
      <c r="E40" s="222">
        <v>0</v>
      </c>
    </row>
    <row r="41" spans="1:5" ht="26.4" x14ac:dyDescent="0.25">
      <c r="A41" s="221" t="s">
        <v>596</v>
      </c>
      <c r="B41" s="217" t="s">
        <v>1249</v>
      </c>
      <c r="C41" s="218">
        <v>0</v>
      </c>
      <c r="D41" s="218">
        <v>0</v>
      </c>
      <c r="E41" s="222">
        <v>0</v>
      </c>
    </row>
    <row r="42" spans="1:5" ht="26.4" x14ac:dyDescent="0.25">
      <c r="A42" s="221" t="s">
        <v>598</v>
      </c>
      <c r="B42" s="217" t="s">
        <v>1250</v>
      </c>
      <c r="C42" s="218">
        <v>0</v>
      </c>
      <c r="D42" s="218">
        <v>0</v>
      </c>
      <c r="E42" s="222">
        <v>0</v>
      </c>
    </row>
    <row r="43" spans="1:5" ht="39.6" x14ac:dyDescent="0.25">
      <c r="A43" s="221" t="s">
        <v>600</v>
      </c>
      <c r="B43" s="217" t="s">
        <v>1251</v>
      </c>
      <c r="C43" s="218">
        <v>0</v>
      </c>
      <c r="D43" s="218">
        <v>0</v>
      </c>
      <c r="E43" s="222">
        <v>0</v>
      </c>
    </row>
    <row r="44" spans="1:5" ht="52.8" x14ac:dyDescent="0.25">
      <c r="A44" s="221" t="s">
        <v>602</v>
      </c>
      <c r="B44" s="217" t="s">
        <v>1252</v>
      </c>
      <c r="C44" s="218">
        <v>0</v>
      </c>
      <c r="D44" s="218">
        <v>0</v>
      </c>
      <c r="E44" s="222">
        <v>0</v>
      </c>
    </row>
    <row r="45" spans="1:5" ht="26.4" x14ac:dyDescent="0.25">
      <c r="A45" s="223" t="s">
        <v>604</v>
      </c>
      <c r="B45" s="219" t="s">
        <v>1253</v>
      </c>
      <c r="C45" s="220">
        <v>0</v>
      </c>
      <c r="D45" s="220">
        <v>0</v>
      </c>
      <c r="E45" s="224">
        <v>0</v>
      </c>
    </row>
    <row r="46" spans="1:5" ht="27" thickBot="1" x14ac:dyDescent="0.3">
      <c r="A46" s="244" t="s">
        <v>606</v>
      </c>
      <c r="B46" s="245" t="s">
        <v>1235</v>
      </c>
      <c r="C46" s="246">
        <v>2717477</v>
      </c>
      <c r="D46" s="246">
        <v>0</v>
      </c>
      <c r="E46" s="247">
        <v>49042</v>
      </c>
    </row>
    <row r="47" spans="1:5" ht="13.8" thickBot="1" x14ac:dyDescent="0.3">
      <c r="A47" s="210" t="s">
        <v>608</v>
      </c>
      <c r="B47" s="211" t="s">
        <v>1236</v>
      </c>
      <c r="C47" s="212">
        <v>51460539</v>
      </c>
      <c r="D47" s="212">
        <v>0</v>
      </c>
      <c r="E47" s="213">
        <v>-28811036</v>
      </c>
    </row>
  </sheetData>
  <mergeCells count="1">
    <mergeCell ref="A1:E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A2" sqref="A2"/>
    </sheetView>
  </sheetViews>
  <sheetFormatPr defaultRowHeight="13.2" x14ac:dyDescent="0.25"/>
  <cols>
    <col min="1" max="1" width="8.33203125" customWidth="1"/>
    <col min="2" max="2" width="41" customWidth="1"/>
    <col min="3" max="3" width="32.6640625" customWidth="1"/>
    <col min="257" max="257" width="8.33203125" customWidth="1"/>
    <col min="258" max="258" width="41" customWidth="1"/>
    <col min="259" max="259" width="32.6640625" customWidth="1"/>
    <col min="513" max="513" width="8.33203125" customWidth="1"/>
    <col min="514" max="514" width="41" customWidth="1"/>
    <col min="515" max="515" width="32.6640625" customWidth="1"/>
    <col min="769" max="769" width="8.33203125" customWidth="1"/>
    <col min="770" max="770" width="41" customWidth="1"/>
    <col min="771" max="771" width="32.6640625" customWidth="1"/>
    <col min="1025" max="1025" width="8.33203125" customWidth="1"/>
    <col min="1026" max="1026" width="41" customWidth="1"/>
    <col min="1027" max="1027" width="32.6640625" customWidth="1"/>
    <col min="1281" max="1281" width="8.33203125" customWidth="1"/>
    <col min="1282" max="1282" width="41" customWidth="1"/>
    <col min="1283" max="1283" width="32.6640625" customWidth="1"/>
    <col min="1537" max="1537" width="8.33203125" customWidth="1"/>
    <col min="1538" max="1538" width="41" customWidth="1"/>
    <col min="1539" max="1539" width="32.6640625" customWidth="1"/>
    <col min="1793" max="1793" width="8.33203125" customWidth="1"/>
    <col min="1794" max="1794" width="41" customWidth="1"/>
    <col min="1795" max="1795" width="32.6640625" customWidth="1"/>
    <col min="2049" max="2049" width="8.33203125" customWidth="1"/>
    <col min="2050" max="2050" width="41" customWidth="1"/>
    <col min="2051" max="2051" width="32.6640625" customWidth="1"/>
    <col min="2305" max="2305" width="8.33203125" customWidth="1"/>
    <col min="2306" max="2306" width="41" customWidth="1"/>
    <col min="2307" max="2307" width="32.6640625" customWidth="1"/>
    <col min="2561" max="2561" width="8.33203125" customWidth="1"/>
    <col min="2562" max="2562" width="41" customWidth="1"/>
    <col min="2563" max="2563" width="32.6640625" customWidth="1"/>
    <col min="2817" max="2817" width="8.33203125" customWidth="1"/>
    <col min="2818" max="2818" width="41" customWidth="1"/>
    <col min="2819" max="2819" width="32.6640625" customWidth="1"/>
    <col min="3073" max="3073" width="8.33203125" customWidth="1"/>
    <col min="3074" max="3074" width="41" customWidth="1"/>
    <col min="3075" max="3075" width="32.6640625" customWidth="1"/>
    <col min="3329" max="3329" width="8.33203125" customWidth="1"/>
    <col min="3330" max="3330" width="41" customWidth="1"/>
    <col min="3331" max="3331" width="32.6640625" customWidth="1"/>
    <col min="3585" max="3585" width="8.33203125" customWidth="1"/>
    <col min="3586" max="3586" width="41" customWidth="1"/>
    <col min="3587" max="3587" width="32.6640625" customWidth="1"/>
    <col min="3841" max="3841" width="8.33203125" customWidth="1"/>
    <col min="3842" max="3842" width="41" customWidth="1"/>
    <col min="3843" max="3843" width="32.6640625" customWidth="1"/>
    <col min="4097" max="4097" width="8.33203125" customWidth="1"/>
    <col min="4098" max="4098" width="41" customWidth="1"/>
    <col min="4099" max="4099" width="32.6640625" customWidth="1"/>
    <col min="4353" max="4353" width="8.33203125" customWidth="1"/>
    <col min="4354" max="4354" width="41" customWidth="1"/>
    <col min="4355" max="4355" width="32.6640625" customWidth="1"/>
    <col min="4609" max="4609" width="8.33203125" customWidth="1"/>
    <col min="4610" max="4610" width="41" customWidth="1"/>
    <col min="4611" max="4611" width="32.6640625" customWidth="1"/>
    <col min="4865" max="4865" width="8.33203125" customWidth="1"/>
    <col min="4866" max="4866" width="41" customWidth="1"/>
    <col min="4867" max="4867" width="32.6640625" customWidth="1"/>
    <col min="5121" max="5121" width="8.33203125" customWidth="1"/>
    <col min="5122" max="5122" width="41" customWidth="1"/>
    <col min="5123" max="5123" width="32.6640625" customWidth="1"/>
    <col min="5377" max="5377" width="8.33203125" customWidth="1"/>
    <col min="5378" max="5378" width="41" customWidth="1"/>
    <col min="5379" max="5379" width="32.6640625" customWidth="1"/>
    <col min="5633" max="5633" width="8.33203125" customWidth="1"/>
    <col min="5634" max="5634" width="41" customWidth="1"/>
    <col min="5635" max="5635" width="32.6640625" customWidth="1"/>
    <col min="5889" max="5889" width="8.33203125" customWidth="1"/>
    <col min="5890" max="5890" width="41" customWidth="1"/>
    <col min="5891" max="5891" width="32.6640625" customWidth="1"/>
    <col min="6145" max="6145" width="8.33203125" customWidth="1"/>
    <col min="6146" max="6146" width="41" customWidth="1"/>
    <col min="6147" max="6147" width="32.6640625" customWidth="1"/>
    <col min="6401" max="6401" width="8.33203125" customWidth="1"/>
    <col min="6402" max="6402" width="41" customWidth="1"/>
    <col min="6403" max="6403" width="32.6640625" customWidth="1"/>
    <col min="6657" max="6657" width="8.33203125" customWidth="1"/>
    <col min="6658" max="6658" width="41" customWidth="1"/>
    <col min="6659" max="6659" width="32.6640625" customWidth="1"/>
    <col min="6913" max="6913" width="8.33203125" customWidth="1"/>
    <col min="6914" max="6914" width="41" customWidth="1"/>
    <col min="6915" max="6915" width="32.6640625" customWidth="1"/>
    <col min="7169" max="7169" width="8.33203125" customWidth="1"/>
    <col min="7170" max="7170" width="41" customWidth="1"/>
    <col min="7171" max="7171" width="32.6640625" customWidth="1"/>
    <col min="7425" max="7425" width="8.33203125" customWidth="1"/>
    <col min="7426" max="7426" width="41" customWidth="1"/>
    <col min="7427" max="7427" width="32.6640625" customWidth="1"/>
    <col min="7681" max="7681" width="8.33203125" customWidth="1"/>
    <col min="7682" max="7682" width="41" customWidth="1"/>
    <col min="7683" max="7683" width="32.6640625" customWidth="1"/>
    <col min="7937" max="7937" width="8.33203125" customWidth="1"/>
    <col min="7938" max="7938" width="41" customWidth="1"/>
    <col min="7939" max="7939" width="32.6640625" customWidth="1"/>
    <col min="8193" max="8193" width="8.33203125" customWidth="1"/>
    <col min="8194" max="8194" width="41" customWidth="1"/>
    <col min="8195" max="8195" width="32.6640625" customWidth="1"/>
    <col min="8449" max="8449" width="8.33203125" customWidth="1"/>
    <col min="8450" max="8450" width="41" customWidth="1"/>
    <col min="8451" max="8451" width="32.6640625" customWidth="1"/>
    <col min="8705" max="8705" width="8.33203125" customWidth="1"/>
    <col min="8706" max="8706" width="41" customWidth="1"/>
    <col min="8707" max="8707" width="32.6640625" customWidth="1"/>
    <col min="8961" max="8961" width="8.33203125" customWidth="1"/>
    <col min="8962" max="8962" width="41" customWidth="1"/>
    <col min="8963" max="8963" width="32.6640625" customWidth="1"/>
    <col min="9217" max="9217" width="8.33203125" customWidth="1"/>
    <col min="9218" max="9218" width="41" customWidth="1"/>
    <col min="9219" max="9219" width="32.6640625" customWidth="1"/>
    <col min="9473" max="9473" width="8.33203125" customWidth="1"/>
    <col min="9474" max="9474" width="41" customWidth="1"/>
    <col min="9475" max="9475" width="32.6640625" customWidth="1"/>
    <col min="9729" max="9729" width="8.33203125" customWidth="1"/>
    <col min="9730" max="9730" width="41" customWidth="1"/>
    <col min="9731" max="9731" width="32.6640625" customWidth="1"/>
    <col min="9985" max="9985" width="8.33203125" customWidth="1"/>
    <col min="9986" max="9986" width="41" customWidth="1"/>
    <col min="9987" max="9987" width="32.6640625" customWidth="1"/>
    <col min="10241" max="10241" width="8.33203125" customWidth="1"/>
    <col min="10242" max="10242" width="41" customWidth="1"/>
    <col min="10243" max="10243" width="32.6640625" customWidth="1"/>
    <col min="10497" max="10497" width="8.33203125" customWidth="1"/>
    <col min="10498" max="10498" width="41" customWidth="1"/>
    <col min="10499" max="10499" width="32.6640625" customWidth="1"/>
    <col min="10753" max="10753" width="8.33203125" customWidth="1"/>
    <col min="10754" max="10754" width="41" customWidth="1"/>
    <col min="10755" max="10755" width="32.6640625" customWidth="1"/>
    <col min="11009" max="11009" width="8.33203125" customWidth="1"/>
    <col min="11010" max="11010" width="41" customWidth="1"/>
    <col min="11011" max="11011" width="32.6640625" customWidth="1"/>
    <col min="11265" max="11265" width="8.33203125" customWidth="1"/>
    <col min="11266" max="11266" width="41" customWidth="1"/>
    <col min="11267" max="11267" width="32.6640625" customWidth="1"/>
    <col min="11521" max="11521" width="8.33203125" customWidth="1"/>
    <col min="11522" max="11522" width="41" customWidth="1"/>
    <col min="11523" max="11523" width="32.6640625" customWidth="1"/>
    <col min="11777" max="11777" width="8.33203125" customWidth="1"/>
    <col min="11778" max="11778" width="41" customWidth="1"/>
    <col min="11779" max="11779" width="32.6640625" customWidth="1"/>
    <col min="12033" max="12033" width="8.33203125" customWidth="1"/>
    <col min="12034" max="12034" width="41" customWidth="1"/>
    <col min="12035" max="12035" width="32.6640625" customWidth="1"/>
    <col min="12289" max="12289" width="8.33203125" customWidth="1"/>
    <col min="12290" max="12290" width="41" customWidth="1"/>
    <col min="12291" max="12291" width="32.6640625" customWidth="1"/>
    <col min="12545" max="12545" width="8.33203125" customWidth="1"/>
    <col min="12546" max="12546" width="41" customWidth="1"/>
    <col min="12547" max="12547" width="32.6640625" customWidth="1"/>
    <col min="12801" max="12801" width="8.33203125" customWidth="1"/>
    <col min="12802" max="12802" width="41" customWidth="1"/>
    <col min="12803" max="12803" width="32.6640625" customWidth="1"/>
    <col min="13057" max="13057" width="8.33203125" customWidth="1"/>
    <col min="13058" max="13058" width="41" customWidth="1"/>
    <col min="13059" max="13059" width="32.6640625" customWidth="1"/>
    <col min="13313" max="13313" width="8.33203125" customWidth="1"/>
    <col min="13314" max="13314" width="41" customWidth="1"/>
    <col min="13315" max="13315" width="32.6640625" customWidth="1"/>
    <col min="13569" max="13569" width="8.33203125" customWidth="1"/>
    <col min="13570" max="13570" width="41" customWidth="1"/>
    <col min="13571" max="13571" width="32.6640625" customWidth="1"/>
    <col min="13825" max="13825" width="8.33203125" customWidth="1"/>
    <col min="13826" max="13826" width="41" customWidth="1"/>
    <col min="13827" max="13827" width="32.6640625" customWidth="1"/>
    <col min="14081" max="14081" width="8.33203125" customWidth="1"/>
    <col min="14082" max="14082" width="41" customWidth="1"/>
    <col min="14083" max="14083" width="32.6640625" customWidth="1"/>
    <col min="14337" max="14337" width="8.33203125" customWidth="1"/>
    <col min="14338" max="14338" width="41" customWidth="1"/>
    <col min="14339" max="14339" width="32.6640625" customWidth="1"/>
    <col min="14593" max="14593" width="8.33203125" customWidth="1"/>
    <col min="14594" max="14594" width="41" customWidth="1"/>
    <col min="14595" max="14595" width="32.6640625" customWidth="1"/>
    <col min="14849" max="14849" width="8.33203125" customWidth="1"/>
    <col min="14850" max="14850" width="41" customWidth="1"/>
    <col min="14851" max="14851" width="32.6640625" customWidth="1"/>
    <col min="15105" max="15105" width="8.33203125" customWidth="1"/>
    <col min="15106" max="15106" width="41" customWidth="1"/>
    <col min="15107" max="15107" width="32.6640625" customWidth="1"/>
    <col min="15361" max="15361" width="8.33203125" customWidth="1"/>
    <col min="15362" max="15362" width="41" customWidth="1"/>
    <col min="15363" max="15363" width="32.6640625" customWidth="1"/>
    <col min="15617" max="15617" width="8.33203125" customWidth="1"/>
    <col min="15618" max="15618" width="41" customWidth="1"/>
    <col min="15619" max="15619" width="32.6640625" customWidth="1"/>
    <col min="15873" max="15873" width="8.33203125" customWidth="1"/>
    <col min="15874" max="15874" width="41" customWidth="1"/>
    <col min="15875" max="15875" width="32.6640625" customWidth="1"/>
    <col min="16129" max="16129" width="8.33203125" customWidth="1"/>
    <col min="16130" max="16130" width="41" customWidth="1"/>
    <col min="16131" max="16131" width="32.6640625" customWidth="1"/>
  </cols>
  <sheetData>
    <row r="1" spans="1:3" ht="20.399999999999999" customHeight="1" thickBot="1" x14ac:dyDescent="0.3">
      <c r="A1" s="1129" t="s">
        <v>1275</v>
      </c>
      <c r="B1" s="1130"/>
      <c r="C1" s="1131"/>
    </row>
    <row r="2" spans="1:3" ht="15" x14ac:dyDescent="0.25">
      <c r="A2" s="238"/>
      <c r="B2" s="239" t="s">
        <v>373</v>
      </c>
      <c r="C2" s="240" t="s">
        <v>1255</v>
      </c>
    </row>
    <row r="3" spans="1:3" ht="15.6" thickBot="1" x14ac:dyDescent="0.3">
      <c r="A3" s="241">
        <v>1</v>
      </c>
      <c r="B3" s="242">
        <v>2</v>
      </c>
      <c r="C3" s="243">
        <v>3</v>
      </c>
    </row>
    <row r="4" spans="1:3" x14ac:dyDescent="0.25">
      <c r="A4" s="228" t="s">
        <v>522</v>
      </c>
      <c r="B4" s="229" t="s">
        <v>1256</v>
      </c>
      <c r="C4" s="231">
        <v>1220949097</v>
      </c>
    </row>
    <row r="5" spans="1:3" x14ac:dyDescent="0.25">
      <c r="A5" s="221" t="s">
        <v>524</v>
      </c>
      <c r="B5" s="217" t="s">
        <v>1257</v>
      </c>
      <c r="C5" s="222">
        <v>1252423194</v>
      </c>
    </row>
    <row r="6" spans="1:3" ht="26.4" x14ac:dyDescent="0.25">
      <c r="A6" s="223" t="s">
        <v>526</v>
      </c>
      <c r="B6" s="219" t="s">
        <v>1258</v>
      </c>
      <c r="C6" s="224">
        <v>-31474097</v>
      </c>
    </row>
    <row r="7" spans="1:3" ht="26.4" x14ac:dyDescent="0.25">
      <c r="A7" s="221" t="s">
        <v>528</v>
      </c>
      <c r="B7" s="217" t="s">
        <v>1259</v>
      </c>
      <c r="C7" s="222">
        <v>972215916</v>
      </c>
    </row>
    <row r="8" spans="1:3" x14ac:dyDescent="0.25">
      <c r="A8" s="221" t="s">
        <v>530</v>
      </c>
      <c r="B8" s="217" t="s">
        <v>1260</v>
      </c>
      <c r="C8" s="222">
        <v>516281397</v>
      </c>
    </row>
    <row r="9" spans="1:3" ht="26.4" x14ac:dyDescent="0.25">
      <c r="A9" s="223" t="s">
        <v>532</v>
      </c>
      <c r="B9" s="219" t="s">
        <v>1261</v>
      </c>
      <c r="C9" s="224">
        <v>455934519</v>
      </c>
    </row>
    <row r="10" spans="1:3" x14ac:dyDescent="0.25">
      <c r="A10" s="223" t="s">
        <v>534</v>
      </c>
      <c r="B10" s="219" t="s">
        <v>1262</v>
      </c>
      <c r="C10" s="224">
        <v>424460422</v>
      </c>
    </row>
    <row r="11" spans="1:3" ht="26.4" x14ac:dyDescent="0.25">
      <c r="A11" s="221" t="s">
        <v>536</v>
      </c>
      <c r="B11" s="217" t="s">
        <v>1263</v>
      </c>
      <c r="C11" s="222">
        <v>0</v>
      </c>
    </row>
    <row r="12" spans="1:3" ht="26.4" x14ac:dyDescent="0.25">
      <c r="A12" s="221" t="s">
        <v>538</v>
      </c>
      <c r="B12" s="217" t="s">
        <v>1264</v>
      </c>
      <c r="C12" s="222">
        <v>0</v>
      </c>
    </row>
    <row r="13" spans="1:3" ht="26.4" x14ac:dyDescent="0.25">
      <c r="A13" s="223" t="s">
        <v>540</v>
      </c>
      <c r="B13" s="219" t="s">
        <v>1265</v>
      </c>
      <c r="C13" s="224">
        <v>0</v>
      </c>
    </row>
    <row r="14" spans="1:3" ht="26.4" x14ac:dyDescent="0.25">
      <c r="A14" s="221" t="s">
        <v>542</v>
      </c>
      <c r="B14" s="217" t="s">
        <v>1266</v>
      </c>
      <c r="C14" s="222">
        <v>0</v>
      </c>
    </row>
    <row r="15" spans="1:3" ht="26.4" x14ac:dyDescent="0.25">
      <c r="A15" s="221" t="s">
        <v>544</v>
      </c>
      <c r="B15" s="217" t="s">
        <v>1267</v>
      </c>
      <c r="C15" s="222">
        <v>0</v>
      </c>
    </row>
    <row r="16" spans="1:3" ht="26.4" x14ac:dyDescent="0.25">
      <c r="A16" s="223" t="s">
        <v>546</v>
      </c>
      <c r="B16" s="219" t="s">
        <v>1268</v>
      </c>
      <c r="C16" s="224">
        <v>0</v>
      </c>
    </row>
    <row r="17" spans="1:3" ht="26.4" x14ac:dyDescent="0.25">
      <c r="A17" s="223" t="s">
        <v>548</v>
      </c>
      <c r="B17" s="219" t="s">
        <v>1269</v>
      </c>
      <c r="C17" s="224">
        <v>0</v>
      </c>
    </row>
    <row r="18" spans="1:3" x14ac:dyDescent="0.25">
      <c r="A18" s="223" t="s">
        <v>550</v>
      </c>
      <c r="B18" s="219" t="s">
        <v>1270</v>
      </c>
      <c r="C18" s="224">
        <v>424460422</v>
      </c>
    </row>
    <row r="19" spans="1:3" ht="26.4" x14ac:dyDescent="0.25">
      <c r="A19" s="223" t="s">
        <v>552</v>
      </c>
      <c r="B19" s="219" t="s">
        <v>1271</v>
      </c>
      <c r="C19" s="224">
        <v>313628248</v>
      </c>
    </row>
    <row r="20" spans="1:3" ht="26.4" x14ac:dyDescent="0.25">
      <c r="A20" s="223" t="s">
        <v>554</v>
      </c>
      <c r="B20" s="219" t="s">
        <v>1272</v>
      </c>
      <c r="C20" s="224">
        <v>110832174</v>
      </c>
    </row>
    <row r="21" spans="1:3" ht="26.4" x14ac:dyDescent="0.25">
      <c r="A21" s="223" t="s">
        <v>556</v>
      </c>
      <c r="B21" s="219" t="s">
        <v>1273</v>
      </c>
      <c r="C21" s="224">
        <v>0</v>
      </c>
    </row>
    <row r="22" spans="1:3" ht="27" thickBot="1" x14ac:dyDescent="0.3">
      <c r="A22" s="225" t="s">
        <v>558</v>
      </c>
      <c r="B22" s="226" t="s">
        <v>1274</v>
      </c>
      <c r="C22" s="227">
        <v>0</v>
      </c>
    </row>
  </sheetData>
  <mergeCells count="1">
    <mergeCell ref="A1:C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E4" sqref="E4"/>
    </sheetView>
  </sheetViews>
  <sheetFormatPr defaultRowHeight="13.2" x14ac:dyDescent="0.25"/>
  <cols>
    <col min="1" max="1" width="15.88671875" customWidth="1"/>
    <col min="2" max="2" width="8.6640625" bestFit="1" customWidth="1"/>
  </cols>
  <sheetData>
    <row r="1" spans="1:6" ht="15" x14ac:dyDescent="0.25">
      <c r="A1" s="1147" t="s">
        <v>1293</v>
      </c>
      <c r="B1" s="1148"/>
      <c r="C1" s="1148"/>
      <c r="D1" s="1148"/>
      <c r="E1" s="1148"/>
      <c r="F1" s="1148"/>
    </row>
    <row r="2" spans="1:6" ht="13.8" thickBot="1" x14ac:dyDescent="0.3"/>
    <row r="3" spans="1:6" ht="24.6" customHeight="1" thickBot="1" x14ac:dyDescent="0.3">
      <c r="A3" s="1149" t="s">
        <v>1276</v>
      </c>
      <c r="B3" s="1149" t="s">
        <v>1277</v>
      </c>
      <c r="C3" s="1149" t="s">
        <v>1278</v>
      </c>
      <c r="D3" s="1151" t="s">
        <v>1279</v>
      </c>
      <c r="E3" s="1151"/>
      <c r="F3" s="1152" t="s">
        <v>1292</v>
      </c>
    </row>
    <row r="4" spans="1:6" ht="16.95" customHeight="1" thickBot="1" x14ac:dyDescent="0.3">
      <c r="A4" s="1149"/>
      <c r="B4" s="1150"/>
      <c r="C4" s="1149"/>
      <c r="D4" s="270" t="s">
        <v>506</v>
      </c>
      <c r="E4" s="271" t="s">
        <v>1291</v>
      </c>
      <c r="F4" s="1152"/>
    </row>
    <row r="5" spans="1:6" ht="13.8" thickBot="1" x14ac:dyDescent="0.3">
      <c r="A5" s="272" t="s">
        <v>1280</v>
      </c>
      <c r="B5" s="272" t="s">
        <v>1281</v>
      </c>
      <c r="C5" s="273" t="s">
        <v>1282</v>
      </c>
      <c r="D5" s="273" t="s">
        <v>1283</v>
      </c>
      <c r="E5" s="273" t="s">
        <v>1284</v>
      </c>
      <c r="F5" s="274" t="s">
        <v>1285</v>
      </c>
    </row>
    <row r="6" spans="1:6" ht="13.8" thickBot="1" x14ac:dyDescent="0.3">
      <c r="A6" s="275" t="s">
        <v>1286</v>
      </c>
      <c r="B6" s="276">
        <v>0</v>
      </c>
      <c r="C6" s="277">
        <v>0</v>
      </c>
      <c r="D6" s="278">
        <f>SUM(D7:D7)</f>
        <v>0</v>
      </c>
      <c r="E6" s="278">
        <f>SUM(E7:E7)</f>
        <v>0</v>
      </c>
      <c r="F6" s="279">
        <f>SUM(F7:F7)</f>
        <v>0</v>
      </c>
    </row>
    <row r="7" spans="1:6" ht="21" thickBot="1" x14ac:dyDescent="0.3">
      <c r="A7" s="280" t="s">
        <v>1287</v>
      </c>
      <c r="B7" s="281">
        <v>0</v>
      </c>
      <c r="C7" s="282">
        <v>0</v>
      </c>
      <c r="D7" s="283">
        <v>0</v>
      </c>
      <c r="E7" s="283">
        <v>0</v>
      </c>
      <c r="F7" s="284">
        <v>0</v>
      </c>
    </row>
    <row r="8" spans="1:6" ht="13.8" thickBot="1" x14ac:dyDescent="0.3">
      <c r="A8" s="275" t="s">
        <v>1288</v>
      </c>
      <c r="B8" s="285">
        <v>0</v>
      </c>
      <c r="C8" s="286">
        <v>0</v>
      </c>
      <c r="D8" s="278">
        <f>SUM(D9:D9)</f>
        <v>0</v>
      </c>
      <c r="E8" s="278">
        <f>SUM(E9:E9)</f>
        <v>0</v>
      </c>
      <c r="F8" s="279">
        <f>SUM(F9:F9)</f>
        <v>0</v>
      </c>
    </row>
    <row r="9" spans="1:6" ht="13.8" thickBot="1" x14ac:dyDescent="0.3">
      <c r="A9" s="280" t="s">
        <v>1289</v>
      </c>
      <c r="B9" s="281">
        <v>0</v>
      </c>
      <c r="C9" s="282">
        <v>0</v>
      </c>
      <c r="D9" s="283">
        <v>0</v>
      </c>
      <c r="E9" s="283">
        <v>0</v>
      </c>
      <c r="F9" s="284">
        <v>0</v>
      </c>
    </row>
    <row r="10" spans="1:6" ht="13.8" thickBot="1" x14ac:dyDescent="0.3">
      <c r="A10" s="275" t="s">
        <v>1290</v>
      </c>
      <c r="B10" s="276">
        <v>0</v>
      </c>
      <c r="C10" s="277">
        <v>0</v>
      </c>
      <c r="D10" s="278">
        <f>D6+D8</f>
        <v>0</v>
      </c>
      <c r="E10" s="278">
        <f>E6+E8</f>
        <v>0</v>
      </c>
      <c r="F10" s="279">
        <f>F6+F8</f>
        <v>0</v>
      </c>
    </row>
  </sheetData>
  <mergeCells count="6">
    <mergeCell ref="A1:F1"/>
    <mergeCell ref="A3:A4"/>
    <mergeCell ref="B3:B4"/>
    <mergeCell ref="C3:C4"/>
    <mergeCell ref="D3:E3"/>
    <mergeCell ref="F3:F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N11" sqref="N11"/>
    </sheetView>
  </sheetViews>
  <sheetFormatPr defaultColWidth="12" defaultRowHeight="13.2" x14ac:dyDescent="0.25"/>
  <cols>
    <col min="2" max="2" width="16.6640625" customWidth="1"/>
    <col min="258" max="258" width="16.6640625" customWidth="1"/>
    <col min="514" max="514" width="16.6640625" customWidth="1"/>
    <col min="770" max="770" width="16.6640625" customWidth="1"/>
    <col min="1026" max="1026" width="16.6640625" customWidth="1"/>
    <col min="1282" max="1282" width="16.6640625" customWidth="1"/>
    <col min="1538" max="1538" width="16.6640625" customWidth="1"/>
    <col min="1794" max="1794" width="16.6640625" customWidth="1"/>
    <col min="2050" max="2050" width="16.6640625" customWidth="1"/>
    <col min="2306" max="2306" width="16.6640625" customWidth="1"/>
    <col min="2562" max="2562" width="16.6640625" customWidth="1"/>
    <col min="2818" max="2818" width="16.6640625" customWidth="1"/>
    <col min="3074" max="3074" width="16.6640625" customWidth="1"/>
    <col min="3330" max="3330" width="16.6640625" customWidth="1"/>
    <col min="3586" max="3586" width="16.6640625" customWidth="1"/>
    <col min="3842" max="3842" width="16.6640625" customWidth="1"/>
    <col min="4098" max="4098" width="16.6640625" customWidth="1"/>
    <col min="4354" max="4354" width="16.6640625" customWidth="1"/>
    <col min="4610" max="4610" width="16.6640625" customWidth="1"/>
    <col min="4866" max="4866" width="16.6640625" customWidth="1"/>
    <col min="5122" max="5122" width="16.6640625" customWidth="1"/>
    <col min="5378" max="5378" width="16.6640625" customWidth="1"/>
    <col min="5634" max="5634" width="16.6640625" customWidth="1"/>
    <col min="5890" max="5890" width="16.6640625" customWidth="1"/>
    <col min="6146" max="6146" width="16.6640625" customWidth="1"/>
    <col min="6402" max="6402" width="16.6640625" customWidth="1"/>
    <col min="6658" max="6658" width="16.6640625" customWidth="1"/>
    <col min="6914" max="6914" width="16.6640625" customWidth="1"/>
    <col min="7170" max="7170" width="16.6640625" customWidth="1"/>
    <col min="7426" max="7426" width="16.6640625" customWidth="1"/>
    <col min="7682" max="7682" width="16.6640625" customWidth="1"/>
    <col min="7938" max="7938" width="16.6640625" customWidth="1"/>
    <col min="8194" max="8194" width="16.6640625" customWidth="1"/>
    <col min="8450" max="8450" width="16.6640625" customWidth="1"/>
    <col min="8706" max="8706" width="16.6640625" customWidth="1"/>
    <col min="8962" max="8962" width="16.6640625" customWidth="1"/>
    <col min="9218" max="9218" width="16.6640625" customWidth="1"/>
    <col min="9474" max="9474" width="16.6640625" customWidth="1"/>
    <col min="9730" max="9730" width="16.6640625" customWidth="1"/>
    <col min="9986" max="9986" width="16.6640625" customWidth="1"/>
    <col min="10242" max="10242" width="16.6640625" customWidth="1"/>
    <col min="10498" max="10498" width="16.6640625" customWidth="1"/>
    <col min="10754" max="10754" width="16.6640625" customWidth="1"/>
    <col min="11010" max="11010" width="16.6640625" customWidth="1"/>
    <col min="11266" max="11266" width="16.6640625" customWidth="1"/>
    <col min="11522" max="11522" width="16.6640625" customWidth="1"/>
    <col min="11778" max="11778" width="16.6640625" customWidth="1"/>
    <col min="12034" max="12034" width="16.6640625" customWidth="1"/>
    <col min="12290" max="12290" width="16.6640625" customWidth="1"/>
    <col min="12546" max="12546" width="16.6640625" customWidth="1"/>
    <col min="12802" max="12802" width="16.6640625" customWidth="1"/>
    <col min="13058" max="13058" width="16.6640625" customWidth="1"/>
    <col min="13314" max="13314" width="16.6640625" customWidth="1"/>
    <col min="13570" max="13570" width="16.6640625" customWidth="1"/>
    <col min="13826" max="13826" width="16.6640625" customWidth="1"/>
    <col min="14082" max="14082" width="16.6640625" customWidth="1"/>
    <col min="14338" max="14338" width="16.6640625" customWidth="1"/>
    <col min="14594" max="14594" width="16.6640625" customWidth="1"/>
    <col min="14850" max="14850" width="16.6640625" customWidth="1"/>
    <col min="15106" max="15106" width="16.6640625" customWidth="1"/>
    <col min="15362" max="15362" width="16.6640625" customWidth="1"/>
    <col min="15618" max="15618" width="16.6640625" customWidth="1"/>
    <col min="15874" max="15874" width="16.6640625" customWidth="1"/>
    <col min="16130" max="16130" width="16.6640625" customWidth="1"/>
  </cols>
  <sheetData>
    <row r="1" spans="1:9" ht="15.6" x14ac:dyDescent="0.25">
      <c r="A1" s="1153" t="s">
        <v>1294</v>
      </c>
      <c r="B1" s="1153"/>
      <c r="C1" s="1153"/>
      <c r="D1" s="1153"/>
      <c r="E1" s="1153"/>
      <c r="F1" s="1153"/>
      <c r="G1" s="1153"/>
      <c r="H1" s="1153"/>
      <c r="I1" s="1153"/>
    </row>
    <row r="2" spans="1:9" ht="15.6" x14ac:dyDescent="0.25">
      <c r="A2" s="1153" t="s">
        <v>1327</v>
      </c>
      <c r="B2" s="1153"/>
      <c r="C2" s="1153"/>
      <c r="D2" s="1153"/>
      <c r="E2" s="1153"/>
      <c r="F2" s="1153"/>
      <c r="G2" s="1153"/>
      <c r="H2" s="1153"/>
      <c r="I2" s="1153"/>
    </row>
    <row r="3" spans="1:9" ht="14.4" thickBot="1" x14ac:dyDescent="0.35">
      <c r="A3" s="7"/>
      <c r="B3" s="7"/>
      <c r="C3" s="7"/>
      <c r="D3" s="7"/>
      <c r="E3" s="7"/>
      <c r="F3" s="7"/>
      <c r="G3" s="7"/>
      <c r="H3" s="1154"/>
      <c r="I3" s="1154"/>
    </row>
    <row r="4" spans="1:9" ht="13.8" thickBot="1" x14ac:dyDescent="0.3">
      <c r="A4" s="1155" t="s">
        <v>1295</v>
      </c>
      <c r="B4" s="1156" t="s">
        <v>1296</v>
      </c>
      <c r="C4" s="1157" t="s">
        <v>1297</v>
      </c>
      <c r="D4" s="1158" t="s">
        <v>1298</v>
      </c>
      <c r="E4" s="1158"/>
      <c r="F4" s="1158"/>
      <c r="G4" s="1158"/>
      <c r="H4" s="1158"/>
      <c r="I4" s="1159" t="s">
        <v>1299</v>
      </c>
    </row>
    <row r="5" spans="1:9" ht="23.4" thickBot="1" x14ac:dyDescent="0.3">
      <c r="A5" s="1155"/>
      <c r="B5" s="1156"/>
      <c r="C5" s="1157"/>
      <c r="D5" s="287" t="s">
        <v>1300</v>
      </c>
      <c r="E5" s="287" t="s">
        <v>1301</v>
      </c>
      <c r="F5" s="287" t="s">
        <v>1302</v>
      </c>
      <c r="G5" s="288" t="s">
        <v>1303</v>
      </c>
      <c r="H5" s="288" t="s">
        <v>1304</v>
      </c>
      <c r="I5" s="1159"/>
    </row>
    <row r="6" spans="1:9" ht="13.8" thickBot="1" x14ac:dyDescent="0.3">
      <c r="A6" s="289" t="s">
        <v>1305</v>
      </c>
      <c r="B6" s="290" t="s">
        <v>1280</v>
      </c>
      <c r="C6" s="290" t="s">
        <v>1281</v>
      </c>
      <c r="D6" s="290" t="s">
        <v>1282</v>
      </c>
      <c r="E6" s="290" t="s">
        <v>1306</v>
      </c>
      <c r="F6" s="290" t="s">
        <v>1283</v>
      </c>
      <c r="G6" s="290" t="s">
        <v>1284</v>
      </c>
      <c r="H6" s="290" t="s">
        <v>1307</v>
      </c>
      <c r="I6" s="291" t="s">
        <v>1308</v>
      </c>
    </row>
    <row r="7" spans="1:9" x14ac:dyDescent="0.25">
      <c r="A7" s="1160" t="s">
        <v>1309</v>
      </c>
      <c r="B7" s="1160"/>
      <c r="C7" s="1160"/>
      <c r="D7" s="1160"/>
      <c r="E7" s="1160"/>
      <c r="F7" s="1160"/>
      <c r="G7" s="1160"/>
      <c r="H7" s="1160"/>
      <c r="I7" s="1160"/>
    </row>
    <row r="8" spans="1:9" ht="20.399999999999999" x14ac:dyDescent="0.25">
      <c r="A8" s="292" t="s">
        <v>1310</v>
      </c>
      <c r="B8" s="293" t="s">
        <v>1311</v>
      </c>
      <c r="C8" s="294">
        <v>0</v>
      </c>
      <c r="D8" s="294">
        <v>0</v>
      </c>
      <c r="E8" s="294">
        <v>0</v>
      </c>
      <c r="F8" s="294">
        <v>0</v>
      </c>
      <c r="G8" s="295">
        <v>0</v>
      </c>
      <c r="H8" s="296">
        <f t="shared" ref="H8:H13" si="0">SUM(D8:G8)</f>
        <v>0</v>
      </c>
      <c r="I8" s="297">
        <f t="shared" ref="I8:I13" si="1">C8+H8</f>
        <v>0</v>
      </c>
    </row>
    <row r="9" spans="1:9" ht="20.399999999999999" x14ac:dyDescent="0.25">
      <c r="A9" s="292" t="s">
        <v>1312</v>
      </c>
      <c r="B9" s="293" t="s">
        <v>1313</v>
      </c>
      <c r="C9" s="294">
        <v>0</v>
      </c>
      <c r="D9" s="294">
        <v>0</v>
      </c>
      <c r="E9" s="294">
        <v>0</v>
      </c>
      <c r="F9" s="294">
        <v>0</v>
      </c>
      <c r="G9" s="295">
        <v>0</v>
      </c>
      <c r="H9" s="296">
        <f t="shared" si="0"/>
        <v>0</v>
      </c>
      <c r="I9" s="297">
        <f t="shared" si="1"/>
        <v>0</v>
      </c>
    </row>
    <row r="10" spans="1:9" ht="30.6" x14ac:dyDescent="0.25">
      <c r="A10" s="292" t="s">
        <v>1314</v>
      </c>
      <c r="B10" s="293" t="s">
        <v>1315</v>
      </c>
      <c r="C10" s="294">
        <v>0</v>
      </c>
      <c r="D10" s="294">
        <v>0</v>
      </c>
      <c r="E10" s="294">
        <v>0</v>
      </c>
      <c r="F10" s="294">
        <v>0</v>
      </c>
      <c r="G10" s="295">
        <v>0</v>
      </c>
      <c r="H10" s="296">
        <f t="shared" si="0"/>
        <v>0</v>
      </c>
      <c r="I10" s="297">
        <f t="shared" si="1"/>
        <v>0</v>
      </c>
    </row>
    <row r="11" spans="1:9" ht="20.399999999999999" x14ac:dyDescent="0.25">
      <c r="A11" s="292" t="s">
        <v>1316</v>
      </c>
      <c r="B11" s="293" t="s">
        <v>1317</v>
      </c>
      <c r="C11" s="294">
        <v>0</v>
      </c>
      <c r="D11" s="294">
        <v>0</v>
      </c>
      <c r="E11" s="294">
        <v>0</v>
      </c>
      <c r="F11" s="294">
        <v>0</v>
      </c>
      <c r="G11" s="295">
        <v>0</v>
      </c>
      <c r="H11" s="296">
        <f t="shared" si="0"/>
        <v>0</v>
      </c>
      <c r="I11" s="297">
        <f t="shared" si="1"/>
        <v>0</v>
      </c>
    </row>
    <row r="12" spans="1:9" ht="30.6" x14ac:dyDescent="0.25">
      <c r="A12" s="292" t="s">
        <v>1318</v>
      </c>
      <c r="B12" s="293" t="s">
        <v>1319</v>
      </c>
      <c r="C12" s="294">
        <v>0</v>
      </c>
      <c r="D12" s="294">
        <v>0</v>
      </c>
      <c r="E12" s="294">
        <v>0</v>
      </c>
      <c r="F12" s="294">
        <v>0</v>
      </c>
      <c r="G12" s="295">
        <v>0</v>
      </c>
      <c r="H12" s="296">
        <f t="shared" si="0"/>
        <v>0</v>
      </c>
      <c r="I12" s="297">
        <f t="shared" si="1"/>
        <v>0</v>
      </c>
    </row>
    <row r="13" spans="1:9" ht="13.8" thickBot="1" x14ac:dyDescent="0.3">
      <c r="A13" s="298" t="s">
        <v>1320</v>
      </c>
      <c r="B13" s="299" t="s">
        <v>1321</v>
      </c>
      <c r="C13" s="300">
        <v>0</v>
      </c>
      <c r="D13" s="300">
        <v>0</v>
      </c>
      <c r="E13" s="300">
        <v>0</v>
      </c>
      <c r="F13" s="300">
        <v>0</v>
      </c>
      <c r="G13" s="301">
        <v>0</v>
      </c>
      <c r="H13" s="296">
        <f t="shared" si="0"/>
        <v>0</v>
      </c>
      <c r="I13" s="297">
        <f t="shared" si="1"/>
        <v>0</v>
      </c>
    </row>
    <row r="14" spans="1:9" ht="13.8" thickBot="1" x14ac:dyDescent="0.3">
      <c r="A14" s="1161" t="s">
        <v>1322</v>
      </c>
      <c r="B14" s="1161"/>
      <c r="C14" s="302">
        <f t="shared" ref="C14:I14" si="2">SUM(C8:C13)</f>
        <v>0</v>
      </c>
      <c r="D14" s="302">
        <f t="shared" si="2"/>
        <v>0</v>
      </c>
      <c r="E14" s="302">
        <f t="shared" si="2"/>
        <v>0</v>
      </c>
      <c r="F14" s="302">
        <f t="shared" si="2"/>
        <v>0</v>
      </c>
      <c r="G14" s="303">
        <f t="shared" si="2"/>
        <v>0</v>
      </c>
      <c r="H14" s="303">
        <f t="shared" si="2"/>
        <v>0</v>
      </c>
      <c r="I14" s="304">
        <f t="shared" si="2"/>
        <v>0</v>
      </c>
    </row>
    <row r="15" spans="1:9" x14ac:dyDescent="0.25">
      <c r="A15" s="1162" t="s">
        <v>1323</v>
      </c>
      <c r="B15" s="1162"/>
      <c r="C15" s="1162"/>
      <c r="D15" s="1162"/>
      <c r="E15" s="1162"/>
      <c r="F15" s="1162"/>
      <c r="G15" s="1162"/>
      <c r="H15" s="1162"/>
      <c r="I15" s="1162"/>
    </row>
    <row r="16" spans="1:9" x14ac:dyDescent="0.25">
      <c r="A16" s="292" t="s">
        <v>1310</v>
      </c>
      <c r="B16" s="293" t="s">
        <v>1324</v>
      </c>
      <c r="C16" s="294">
        <v>0</v>
      </c>
      <c r="D16" s="294">
        <v>0</v>
      </c>
      <c r="E16" s="294">
        <v>0</v>
      </c>
      <c r="F16" s="294">
        <v>0</v>
      </c>
      <c r="G16" s="295">
        <v>0</v>
      </c>
      <c r="H16" s="296">
        <f>SUM(D16:G16)</f>
        <v>0</v>
      </c>
      <c r="I16" s="297">
        <f>C16+H16</f>
        <v>0</v>
      </c>
    </row>
    <row r="17" spans="1:9" ht="13.8" thickBot="1" x14ac:dyDescent="0.3">
      <c r="A17" s="305" t="s">
        <v>1312</v>
      </c>
      <c r="B17" s="306" t="s">
        <v>1321</v>
      </c>
      <c r="C17" s="307">
        <v>0</v>
      </c>
      <c r="D17" s="307">
        <v>0</v>
      </c>
      <c r="E17" s="307">
        <v>0</v>
      </c>
      <c r="F17" s="307">
        <v>0</v>
      </c>
      <c r="G17" s="308">
        <v>0</v>
      </c>
      <c r="H17" s="296">
        <f>SUM(D17:G17)</f>
        <v>0</v>
      </c>
      <c r="I17" s="309">
        <f>C17+H17</f>
        <v>0</v>
      </c>
    </row>
    <row r="18" spans="1:9" ht="13.8" thickBot="1" x14ac:dyDescent="0.3">
      <c r="A18" s="1161" t="s">
        <v>1325</v>
      </c>
      <c r="B18" s="1161"/>
      <c r="C18" s="302">
        <f t="shared" ref="C18:I18" si="3">SUM(C16:C17)</f>
        <v>0</v>
      </c>
      <c r="D18" s="302">
        <f t="shared" si="3"/>
        <v>0</v>
      </c>
      <c r="E18" s="302">
        <f t="shared" si="3"/>
        <v>0</v>
      </c>
      <c r="F18" s="302">
        <f t="shared" si="3"/>
        <v>0</v>
      </c>
      <c r="G18" s="303">
        <f t="shared" si="3"/>
        <v>0</v>
      </c>
      <c r="H18" s="303">
        <f t="shared" si="3"/>
        <v>0</v>
      </c>
      <c r="I18" s="304">
        <f t="shared" si="3"/>
        <v>0</v>
      </c>
    </row>
    <row r="19" spans="1:9" ht="13.8" thickBot="1" x14ac:dyDescent="0.3">
      <c r="A19" s="1163" t="s">
        <v>1326</v>
      </c>
      <c r="B19" s="1163"/>
      <c r="C19" s="310">
        <f t="shared" ref="C19:I19" si="4">C14+C18</f>
        <v>0</v>
      </c>
      <c r="D19" s="310">
        <f t="shared" si="4"/>
        <v>0</v>
      </c>
      <c r="E19" s="310">
        <f t="shared" si="4"/>
        <v>0</v>
      </c>
      <c r="F19" s="310">
        <f t="shared" si="4"/>
        <v>0</v>
      </c>
      <c r="G19" s="310">
        <f t="shared" si="4"/>
        <v>0</v>
      </c>
      <c r="H19" s="310">
        <f t="shared" si="4"/>
        <v>0</v>
      </c>
      <c r="I19" s="304">
        <f t="shared" si="4"/>
        <v>0</v>
      </c>
    </row>
  </sheetData>
  <mergeCells count="13">
    <mergeCell ref="A7:I7"/>
    <mergeCell ref="A14:B14"/>
    <mergeCell ref="A15:I15"/>
    <mergeCell ref="A18:B18"/>
    <mergeCell ref="A19:B19"/>
    <mergeCell ref="A1:I1"/>
    <mergeCell ref="A2:I2"/>
    <mergeCell ref="H3:I3"/>
    <mergeCell ref="A4:A5"/>
    <mergeCell ref="B4:B5"/>
    <mergeCell ref="C4:C5"/>
    <mergeCell ref="D4:H4"/>
    <mergeCell ref="I4:I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D10" sqref="D10"/>
    </sheetView>
  </sheetViews>
  <sheetFormatPr defaultRowHeight="13.2" x14ac:dyDescent="0.25"/>
  <cols>
    <col min="1" max="1" width="25.5546875" bestFit="1" customWidth="1"/>
    <col min="2" max="6" width="16.6640625" customWidth="1"/>
  </cols>
  <sheetData>
    <row r="1" spans="1:6" ht="15" customHeight="1" x14ac:dyDescent="0.25">
      <c r="A1" s="1183" t="s">
        <v>1399</v>
      </c>
      <c r="B1" s="1184"/>
      <c r="C1" s="1184"/>
      <c r="D1" s="1184"/>
      <c r="E1" s="1184"/>
      <c r="F1" s="1184"/>
    </row>
    <row r="2" spans="1:6" ht="15" x14ac:dyDescent="0.25">
      <c r="A2" s="417"/>
      <c r="B2" s="417"/>
      <c r="C2" s="417"/>
      <c r="D2" s="417"/>
      <c r="E2" s="417"/>
      <c r="F2" s="417"/>
    </row>
    <row r="3" spans="1:6" ht="13.8" thickBot="1" x14ac:dyDescent="0.3"/>
    <row r="4" spans="1:6" ht="16.2" thickBot="1" x14ac:dyDescent="0.3">
      <c r="A4" s="1185" t="s">
        <v>373</v>
      </c>
      <c r="B4" s="1186" t="s">
        <v>1400</v>
      </c>
      <c r="C4" s="1187" t="s">
        <v>1401</v>
      </c>
      <c r="D4" s="1187" t="s">
        <v>1402</v>
      </c>
      <c r="E4" s="1187" t="s">
        <v>1403</v>
      </c>
      <c r="F4" s="1188" t="s">
        <v>1404</v>
      </c>
    </row>
    <row r="5" spans="1:6" ht="15.6" x14ac:dyDescent="0.3">
      <c r="A5" s="1189"/>
      <c r="B5" s="1190"/>
      <c r="C5" s="1191"/>
      <c r="D5" s="1191"/>
      <c r="E5" s="1191"/>
      <c r="F5" s="1192"/>
    </row>
    <row r="6" spans="1:6" ht="15.6" x14ac:dyDescent="0.3">
      <c r="A6" s="1193"/>
      <c r="B6" s="1194"/>
      <c r="C6" s="418"/>
      <c r="D6" s="418"/>
      <c r="E6" s="418"/>
      <c r="F6" s="419"/>
    </row>
    <row r="7" spans="1:6" ht="15.6" x14ac:dyDescent="0.3">
      <c r="A7" s="1195" t="s">
        <v>1405</v>
      </c>
      <c r="B7" s="1196">
        <f>SUM([2]Önkormányzat!B8,[2]Bölcsőde!B8,[2]Óvoda!B8,[2]Dr.Gáspár!B8,[2]Konyha!B8,[2]Wamkk!B8,[2]PH!B8)</f>
        <v>505866140</v>
      </c>
      <c r="C7" s="420">
        <f>SUM([2]Önkormányzat!C8,[2]Bölcsőde!C8,[2]Óvoda!C8,[2]Dr.Gáspár!C8,[2]Konyha!C8,[2]Wamkk!C8,[2]PH!C8)</f>
        <v>442352270</v>
      </c>
      <c r="D7" s="420">
        <f>SUM([2]Önkormányzat!D8,[2]Bölcsőde!D8,[2]Óvoda!D8,[2]Dr.Gáspár!D8,[2]Konyha!D8,[2]Wamkk!D8,[2]PH!D8)</f>
        <v>534526477</v>
      </c>
      <c r="E7" s="420">
        <f>SUM([2]Önkormányzat!E8,[2]Bölcsőde!E8,[2]Óvoda!E8,[2]Dr.Gáspár!E8,[2]Konyha!E8,[2]Wamkk!E8,[2]PH!E8)</f>
        <v>566795777</v>
      </c>
      <c r="F7" s="421">
        <f>SUM([2]Önkormányzat!F8,[2]Bölcsőde!F8,[2]Óvoda!F8,[2]Dr.Gáspár!F8,[2]Konyha!F8,[2]Wamkk!F8,[2]PH!F8)</f>
        <v>505866140</v>
      </c>
    </row>
    <row r="8" spans="1:6" ht="15.6" x14ac:dyDescent="0.3">
      <c r="A8" s="1195"/>
      <c r="B8" s="1196"/>
      <c r="C8" s="420"/>
      <c r="D8" s="420"/>
      <c r="E8" s="420"/>
      <c r="F8" s="421"/>
    </row>
    <row r="9" spans="1:6" ht="15.6" x14ac:dyDescent="0.3">
      <c r="A9" s="1195"/>
      <c r="B9" s="1196"/>
      <c r="C9" s="420"/>
      <c r="D9" s="420"/>
      <c r="E9" s="420"/>
      <c r="F9" s="421"/>
    </row>
    <row r="10" spans="1:6" ht="15.6" x14ac:dyDescent="0.3">
      <c r="A10" s="1195" t="s">
        <v>1850</v>
      </c>
      <c r="B10" s="1196">
        <f>SUM([2]Önkormányzat!B11,[2]Bölcsőde!B11,[2]Óvoda!B11,[2]Dr.Gáspár!B11,[2]Konyha!B11,[2]Wamkk!B11,[2]PH!B11)</f>
        <v>430250722</v>
      </c>
      <c r="C10" s="420">
        <f>SUM([2]Önkormányzat!C11,[2]Bölcsőde!C11,[2]Óvoda!C11,[2]Dr.Gáspár!C11,[2]Konyha!C11,[2]Wamkk!C11,[2]PH!C11)</f>
        <v>552139312</v>
      </c>
      <c r="D10" s="420">
        <f>SUM([2]Önkormányzat!D11,[2]Bölcsőde!D11,[2]Óvoda!D11,[2]Dr.Gáspár!D11,[2]Konyha!D11,[2]Wamkk!D11,[2]PH!D11)</f>
        <v>390722087</v>
      </c>
      <c r="E10" s="420">
        <f>SUM([2]Önkormányzat!E11,[2]Bölcsőde!E11,[2]Óvoda!E11,[2]Dr.Gáspár!E11,[2]Konyha!E11,[2]Wamkk!E11,[2]PH!E11)</f>
        <v>363374493</v>
      </c>
      <c r="F10" s="421">
        <f>SUM([2]Önkormányzat!F11,[2]Bölcsőde!F11,[2]Óvoda!F11,[2]Dr.Gáspár!F11,[2]Konyha!F11,[2]Wamkk!F11,[2]PH!F11)</f>
        <v>1736486614</v>
      </c>
    </row>
    <row r="11" spans="1:6" ht="15.6" x14ac:dyDescent="0.3">
      <c r="A11" s="1195"/>
      <c r="B11" s="1196"/>
      <c r="C11" s="420"/>
      <c r="D11" s="420"/>
      <c r="E11" s="420"/>
      <c r="F11" s="421"/>
    </row>
    <row r="12" spans="1:6" ht="15.6" x14ac:dyDescent="0.3">
      <c r="A12" s="1195"/>
      <c r="B12" s="1196"/>
      <c r="C12" s="420"/>
      <c r="D12" s="420"/>
      <c r="E12" s="420"/>
      <c r="F12" s="421"/>
    </row>
    <row r="13" spans="1:6" ht="15.6" x14ac:dyDescent="0.3">
      <c r="A13" s="1195" t="s">
        <v>1851</v>
      </c>
      <c r="B13" s="1196">
        <f>SUM([2]Önkormányzat!B14,[2]Bölcsőde!B14,[2]Óvoda!B14,[2]Dr.Gáspár!B14,[2]Konyha!B14,[2]Wamkk!B14,[2]PH!B14)</f>
        <v>487360108</v>
      </c>
      <c r="C13" s="420">
        <f>SUM([2]Önkormányzat!C14,[2]Bölcsőde!C14,[2]Óvoda!C14,[2]Dr.Gáspár!C14,[2]Konyha!C14,[2]Wamkk!C14,[2]PH!C14)</f>
        <v>465723536</v>
      </c>
      <c r="D13" s="420">
        <f>SUM([2]Önkormányzat!D14,[2]Bölcsőde!D14,[2]Óvoda!D14,[2]Dr.Gáspár!D14,[2]Konyha!D14,[2]Wamkk!D14,[2]PH!D14)</f>
        <v>357781522</v>
      </c>
      <c r="E13" s="420">
        <f>SUM([2]Önkormányzat!E14,[2]Bölcsőde!E14,[2]Óvoda!E14,[2]Dr.Gáspár!E14,[2]Konyha!E14,[2]Wamkk!E14,[2]PH!E14)</f>
        <v>457839425</v>
      </c>
      <c r="F13" s="421">
        <f>SUM([2]Önkormányzat!F14,[2]Bölcsőde!F14,[2]Óvoda!F14,[2]Dr.Gáspár!F14,[2]Konyha!F14,[2]Wamkk!F14,[2]PH!F14)</f>
        <v>1768704591</v>
      </c>
    </row>
    <row r="14" spans="1:6" ht="15.6" x14ac:dyDescent="0.3">
      <c r="A14" s="1195"/>
      <c r="B14" s="1196"/>
      <c r="C14" s="420"/>
      <c r="D14" s="420"/>
      <c r="E14" s="420"/>
      <c r="F14" s="421"/>
    </row>
    <row r="15" spans="1:6" ht="15.6" x14ac:dyDescent="0.3">
      <c r="A15" s="1195"/>
      <c r="B15" s="1196"/>
      <c r="C15" s="420"/>
      <c r="D15" s="420"/>
      <c r="E15" s="420"/>
      <c r="F15" s="421"/>
    </row>
    <row r="16" spans="1:6" ht="15.6" x14ac:dyDescent="0.3">
      <c r="A16" s="1195" t="s">
        <v>1406</v>
      </c>
      <c r="B16" s="1196">
        <f>SUM([2]Önkormányzat!B17,[2]Bölcsőde!B17,[2]Óvoda!B17,[2]Dr.Gáspár!B17,[2]Konyha!B17,[2]Wamkk!B17,[2]PH!B17)</f>
        <v>-6404484</v>
      </c>
      <c r="C16" s="420">
        <f>SUM([2]Önkormányzat!C17,[2]Bölcsőde!C17,[2]Óvoda!C17,[2]Dr.Gáspár!C17,[2]Konyha!C17,[2]Wamkk!C17,[2]PH!C17)</f>
        <v>5758431</v>
      </c>
      <c r="D16" s="420">
        <f>SUM([2]Önkormányzat!D17,[2]Bölcsőde!D17,[2]Óvoda!D17,[2]Dr.Gáspár!D17,[2]Konyha!D17,[2]Wamkk!D17,[2]PH!D17)</f>
        <v>-671265</v>
      </c>
      <c r="E16" s="420">
        <f>SUM([2]Önkormányzat!E17,[2]Bölcsőde!E17,[2]Óvoda!E17,[2]Dr.Gáspár!E17,[2]Konyha!E17,[2]Wamkk!E17,[2]PH!E17)</f>
        <v>17273142</v>
      </c>
      <c r="F16" s="421">
        <f>SUM([2]Önkormányzat!F17,[2]Bölcsőde!F17,[2]Óvoda!F17,[2]Dr.Gáspár!F17,[2]Konyha!F17,[2]Wamkk!F17,[2]PH!F17)</f>
        <v>15955824</v>
      </c>
    </row>
    <row r="17" spans="1:6" ht="15.6" x14ac:dyDescent="0.3">
      <c r="A17" s="1195"/>
      <c r="B17" s="1196"/>
      <c r="C17" s="420"/>
      <c r="D17" s="420"/>
      <c r="E17" s="420"/>
      <c r="F17" s="422"/>
    </row>
    <row r="18" spans="1:6" ht="15.6" x14ac:dyDescent="0.3">
      <c r="A18" s="1195"/>
      <c r="B18" s="1196"/>
      <c r="C18" s="420"/>
      <c r="D18" s="420"/>
      <c r="E18" s="420"/>
      <c r="F18" s="422"/>
    </row>
    <row r="19" spans="1:6" ht="15.6" x14ac:dyDescent="0.3">
      <c r="A19" s="1195" t="s">
        <v>1407</v>
      </c>
      <c r="B19" s="1196">
        <f>B7+B10-B13+B16</f>
        <v>442352270</v>
      </c>
      <c r="C19" s="420">
        <f t="shared" ref="C19:F19" si="0">C7+C10-C13+C16</f>
        <v>534526477</v>
      </c>
      <c r="D19" s="420">
        <f t="shared" si="0"/>
        <v>566795777</v>
      </c>
      <c r="E19" s="420">
        <f t="shared" si="0"/>
        <v>489603987</v>
      </c>
      <c r="F19" s="421">
        <f t="shared" si="0"/>
        <v>489603987</v>
      </c>
    </row>
    <row r="20" spans="1:6" ht="15" thickBot="1" x14ac:dyDescent="0.35">
      <c r="A20" s="1197"/>
      <c r="B20" s="1198"/>
      <c r="C20" s="423"/>
      <c r="D20" s="423"/>
      <c r="E20" s="423"/>
      <c r="F20" s="424"/>
    </row>
  </sheetData>
  <mergeCells count="1">
    <mergeCell ref="A1:F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opLeftCell="A7" workbookViewId="0">
      <selection activeCell="H31" sqref="H31"/>
    </sheetView>
  </sheetViews>
  <sheetFormatPr defaultRowHeight="13.2" x14ac:dyDescent="0.25"/>
  <cols>
    <col min="1" max="1" width="42.33203125" customWidth="1"/>
    <col min="2" max="3" width="11.33203125" customWidth="1"/>
    <col min="4" max="4" width="12.6640625" customWidth="1"/>
    <col min="5" max="5" width="40.6640625" customWidth="1"/>
    <col min="6" max="6" width="12.109375" customWidth="1"/>
    <col min="7" max="7" width="11.33203125" customWidth="1"/>
    <col min="8" max="8" width="15.88671875" customWidth="1"/>
  </cols>
  <sheetData>
    <row r="1" spans="1:8" ht="15.6" x14ac:dyDescent="0.25">
      <c r="A1" s="1164" t="s">
        <v>510</v>
      </c>
      <c r="B1" s="1164"/>
      <c r="C1" s="1164"/>
      <c r="D1" s="1164"/>
      <c r="E1" s="1164"/>
      <c r="F1" s="1164"/>
      <c r="G1" s="1164"/>
      <c r="H1" s="1164"/>
    </row>
    <row r="2" spans="1:8" x14ac:dyDescent="0.25">
      <c r="C2" s="311"/>
      <c r="D2" s="311"/>
      <c r="E2" s="311"/>
    </row>
    <row r="3" spans="1:8" ht="15.6" x14ac:dyDescent="0.25">
      <c r="A3" s="1164" t="s">
        <v>1328</v>
      </c>
      <c r="B3" s="1164"/>
      <c r="C3" s="1164"/>
      <c r="D3" s="1164"/>
      <c r="E3" s="1164"/>
      <c r="F3" s="1164"/>
      <c r="G3" s="1164"/>
      <c r="H3" s="1164"/>
    </row>
    <row r="4" spans="1:8" ht="15.6" x14ac:dyDescent="0.25">
      <c r="A4" s="1164" t="s">
        <v>1357</v>
      </c>
      <c r="B4" s="1164"/>
      <c r="C4" s="1164" t="s">
        <v>1329</v>
      </c>
      <c r="D4" s="1164"/>
      <c r="E4" s="1164"/>
      <c r="F4" s="1164"/>
      <c r="G4" s="1164"/>
      <c r="H4" s="1164"/>
    </row>
    <row r="5" spans="1:8" ht="15.6" x14ac:dyDescent="0.3">
      <c r="A5" s="312"/>
      <c r="B5" s="312"/>
      <c r="C5" s="1165"/>
      <c r="D5" s="1166"/>
      <c r="E5" s="1166"/>
      <c r="F5" s="312"/>
      <c r="G5" s="312"/>
      <c r="H5" s="312"/>
    </row>
    <row r="6" spans="1:8" x14ac:dyDescent="0.25">
      <c r="H6" s="356"/>
    </row>
    <row r="7" spans="1:8" ht="13.8" thickBot="1" x14ac:dyDescent="0.3">
      <c r="H7" s="356" t="s">
        <v>1330</v>
      </c>
    </row>
    <row r="8" spans="1:8" ht="15.6" x14ac:dyDescent="0.25">
      <c r="A8" s="1167" t="s">
        <v>1356</v>
      </c>
      <c r="B8" s="1168"/>
      <c r="C8" s="1168"/>
      <c r="D8" s="1169"/>
      <c r="E8" s="1170" t="s">
        <v>1331</v>
      </c>
      <c r="F8" s="1171"/>
      <c r="G8" s="1171"/>
      <c r="H8" s="1172"/>
    </row>
    <row r="9" spans="1:8" x14ac:dyDescent="0.25">
      <c r="A9" s="313"/>
      <c r="B9" s="314" t="s">
        <v>505</v>
      </c>
      <c r="C9" s="315" t="s">
        <v>506</v>
      </c>
      <c r="D9" s="314" t="s">
        <v>506</v>
      </c>
      <c r="E9" s="313"/>
      <c r="F9" s="314" t="s">
        <v>505</v>
      </c>
      <c r="G9" s="315" t="s">
        <v>506</v>
      </c>
      <c r="H9" s="314" t="s">
        <v>506</v>
      </c>
    </row>
    <row r="10" spans="1:8" x14ac:dyDescent="0.25">
      <c r="A10" s="316" t="s">
        <v>373</v>
      </c>
      <c r="B10" s="314" t="s">
        <v>1332</v>
      </c>
      <c r="C10" s="315" t="s">
        <v>1333</v>
      </c>
      <c r="D10" s="314" t="s">
        <v>1332</v>
      </c>
      <c r="E10" s="316" t="s">
        <v>373</v>
      </c>
      <c r="F10" s="314" t="s">
        <v>1332</v>
      </c>
      <c r="G10" s="315" t="s">
        <v>1333</v>
      </c>
      <c r="H10" s="314" t="s">
        <v>1332</v>
      </c>
    </row>
    <row r="11" spans="1:8" x14ac:dyDescent="0.25">
      <c r="A11" s="317"/>
      <c r="B11" s="318"/>
      <c r="C11" s="319"/>
      <c r="D11" s="318"/>
      <c r="E11" s="317"/>
      <c r="F11" s="318"/>
      <c r="G11" s="320"/>
      <c r="H11" s="318"/>
    </row>
    <row r="12" spans="1:8" x14ac:dyDescent="0.25">
      <c r="A12" s="321" t="s">
        <v>1334</v>
      </c>
      <c r="B12" s="322">
        <v>649226</v>
      </c>
      <c r="C12" s="323">
        <v>623149</v>
      </c>
      <c r="D12" s="322">
        <v>623149</v>
      </c>
      <c r="E12" s="324" t="s">
        <v>1335</v>
      </c>
      <c r="F12" s="322">
        <v>407945</v>
      </c>
      <c r="G12" s="323">
        <v>428361</v>
      </c>
      <c r="H12" s="322">
        <v>424066</v>
      </c>
    </row>
    <row r="13" spans="1:8" x14ac:dyDescent="0.25">
      <c r="A13" s="321"/>
      <c r="B13" s="322"/>
      <c r="C13" s="323"/>
      <c r="D13" s="322"/>
      <c r="E13" s="324"/>
      <c r="F13" s="322"/>
      <c r="G13" s="323"/>
      <c r="H13" s="322"/>
    </row>
    <row r="14" spans="1:8" x14ac:dyDescent="0.25">
      <c r="A14" s="321" t="s">
        <v>1336</v>
      </c>
      <c r="B14" s="322">
        <v>219393</v>
      </c>
      <c r="C14" s="323">
        <v>259000</v>
      </c>
      <c r="D14" s="322">
        <v>245141</v>
      </c>
      <c r="E14" s="324" t="s">
        <v>1337</v>
      </c>
      <c r="F14" s="322">
        <v>89071</v>
      </c>
      <c r="G14" s="323">
        <v>83610</v>
      </c>
      <c r="H14" s="322">
        <v>83597</v>
      </c>
    </row>
    <row r="15" spans="1:8" x14ac:dyDescent="0.25">
      <c r="A15" s="321"/>
      <c r="B15" s="322"/>
      <c r="C15" s="323"/>
      <c r="D15" s="322"/>
      <c r="E15" s="324"/>
      <c r="F15" s="322"/>
      <c r="G15" s="323"/>
      <c r="H15" s="322"/>
    </row>
    <row r="16" spans="1:8" x14ac:dyDescent="0.25">
      <c r="A16" s="321" t="s">
        <v>1338</v>
      </c>
      <c r="B16" s="322">
        <v>135558</v>
      </c>
      <c r="C16" s="323">
        <v>190075</v>
      </c>
      <c r="D16" s="322">
        <v>110160</v>
      </c>
      <c r="E16" s="324" t="s">
        <v>1339</v>
      </c>
      <c r="F16" s="322">
        <v>308068</v>
      </c>
      <c r="G16" s="323">
        <v>358446</v>
      </c>
      <c r="H16" s="322">
        <v>346064</v>
      </c>
    </row>
    <row r="17" spans="1:8" x14ac:dyDescent="0.25">
      <c r="A17" s="321"/>
      <c r="B17" s="322"/>
      <c r="C17" s="323"/>
      <c r="D17" s="322"/>
      <c r="E17" s="324" t="s">
        <v>1340</v>
      </c>
      <c r="F17" s="322">
        <v>21198</v>
      </c>
      <c r="G17" s="323">
        <v>23325</v>
      </c>
      <c r="H17" s="322">
        <v>22054</v>
      </c>
    </row>
    <row r="18" spans="1:8" x14ac:dyDescent="0.25">
      <c r="A18" s="325" t="s">
        <v>1341</v>
      </c>
      <c r="B18" s="322">
        <v>16140</v>
      </c>
      <c r="C18" s="323">
        <v>240</v>
      </c>
      <c r="D18" s="322">
        <v>60</v>
      </c>
      <c r="E18" s="325" t="s">
        <v>1342</v>
      </c>
      <c r="F18" s="322">
        <v>138791</v>
      </c>
      <c r="G18" s="323">
        <v>145312</v>
      </c>
      <c r="H18" s="322">
        <v>130328</v>
      </c>
    </row>
    <row r="19" spans="1:8" x14ac:dyDescent="0.25">
      <c r="A19" s="321"/>
      <c r="B19" s="322"/>
      <c r="C19" s="323"/>
      <c r="D19" s="322"/>
      <c r="E19" s="326" t="s">
        <v>1343</v>
      </c>
      <c r="F19" s="327">
        <v>0</v>
      </c>
      <c r="G19" s="328">
        <v>14954</v>
      </c>
      <c r="H19" s="327">
        <v>0</v>
      </c>
    </row>
    <row r="20" spans="1:8" ht="15.6" x14ac:dyDescent="0.3">
      <c r="A20" s="329" t="s">
        <v>1344</v>
      </c>
      <c r="B20" s="330">
        <f>B12+B14+B16+B18</f>
        <v>1020317</v>
      </c>
      <c r="C20" s="331">
        <f>C12+C14+C16+C18</f>
        <v>1072464</v>
      </c>
      <c r="D20" s="330">
        <f>D12+D14+D16+D18</f>
        <v>978510</v>
      </c>
      <c r="E20" s="329" t="s">
        <v>1345</v>
      </c>
      <c r="F20" s="330">
        <f>F12+F14+F16+F17+F18</f>
        <v>965073</v>
      </c>
      <c r="G20" s="331">
        <f>G12+G14+G16+G17+G18-G19</f>
        <v>1024100</v>
      </c>
      <c r="H20" s="330">
        <f>H12+H14+H16+H17+H18-H19</f>
        <v>1006109</v>
      </c>
    </row>
    <row r="21" spans="1:8" x14ac:dyDescent="0.25">
      <c r="A21" s="332" t="s">
        <v>1346</v>
      </c>
      <c r="B21" s="334">
        <f>B20-F20</f>
        <v>55244</v>
      </c>
      <c r="C21" s="334">
        <f>C20-G20</f>
        <v>48364</v>
      </c>
      <c r="D21" s="333">
        <f>D20-H20</f>
        <v>-27599</v>
      </c>
      <c r="E21" s="325" t="s">
        <v>1347</v>
      </c>
      <c r="F21" s="322">
        <v>0</v>
      </c>
      <c r="G21" s="335">
        <v>0</v>
      </c>
      <c r="H21" s="322">
        <v>0</v>
      </c>
    </row>
    <row r="22" spans="1:8" x14ac:dyDescent="0.25">
      <c r="A22" s="321" t="s">
        <v>336</v>
      </c>
      <c r="B22" s="322">
        <f>SUM(B23:B25)</f>
        <v>128223</v>
      </c>
      <c r="C22" s="335">
        <f>SUM(C23:C25)</f>
        <v>474678.39899999998</v>
      </c>
      <c r="D22" s="322">
        <f>SUM(D23:D25)</f>
        <v>474597.147</v>
      </c>
      <c r="E22" s="324" t="s">
        <v>203</v>
      </c>
      <c r="F22" s="336">
        <f>SUM(F23:F24)</f>
        <v>17121</v>
      </c>
      <c r="G22" s="323">
        <f>SUM(G23:G24)</f>
        <v>18000</v>
      </c>
      <c r="H22" s="336">
        <f>SUM(H23:H24)</f>
        <v>18663</v>
      </c>
    </row>
    <row r="23" spans="1:8" x14ac:dyDescent="0.25">
      <c r="A23" s="317" t="s">
        <v>1348</v>
      </c>
      <c r="B23" s="318">
        <v>0</v>
      </c>
      <c r="C23" s="337">
        <v>0</v>
      </c>
      <c r="D23" s="318">
        <v>0</v>
      </c>
      <c r="E23" s="338" t="s">
        <v>1349</v>
      </c>
      <c r="F23" s="318">
        <v>0</v>
      </c>
      <c r="G23" s="337">
        <v>0</v>
      </c>
      <c r="H23" s="318">
        <v>0</v>
      </c>
    </row>
    <row r="24" spans="1:8" x14ac:dyDescent="0.25">
      <c r="A24" s="317" t="s">
        <v>1350</v>
      </c>
      <c r="B24" s="318">
        <v>109560</v>
      </c>
      <c r="C24" s="337">
        <f>+(+'1. Sülysáp összesen'!F17+'1. Sülysáp összesen'!F18)/1000-'22.Működési mérleg'!C25</f>
        <v>456678.39899999998</v>
      </c>
      <c r="D24" s="318">
        <f>(+'1. Sülysáp összesen'!J17+'1. Sülysáp összesen'!J18)/1000-D25</f>
        <v>456678.147</v>
      </c>
      <c r="E24" s="339" t="s">
        <v>1351</v>
      </c>
      <c r="F24" s="318">
        <v>17121</v>
      </c>
      <c r="G24" s="337">
        <v>18000</v>
      </c>
      <c r="H24" s="318">
        <v>18663</v>
      </c>
    </row>
    <row r="25" spans="1:8" x14ac:dyDescent="0.25">
      <c r="A25" s="317" t="s">
        <v>1352</v>
      </c>
      <c r="B25" s="318">
        <v>18663</v>
      </c>
      <c r="C25" s="337">
        <v>18000</v>
      </c>
      <c r="D25" s="318">
        <v>17919</v>
      </c>
      <c r="E25" s="324"/>
      <c r="F25" s="322"/>
      <c r="G25" s="323"/>
      <c r="H25" s="322"/>
    </row>
    <row r="26" spans="1:8" x14ac:dyDescent="0.25">
      <c r="A26" s="317"/>
      <c r="B26" s="318"/>
      <c r="C26" s="337"/>
      <c r="D26" s="318"/>
      <c r="E26" s="339"/>
      <c r="F26" s="318"/>
      <c r="G26" s="337"/>
      <c r="H26" s="318"/>
    </row>
    <row r="27" spans="1:8" ht="13.8" thickBot="1" x14ac:dyDescent="0.3">
      <c r="A27" s="340" t="s">
        <v>1353</v>
      </c>
      <c r="B27" s="341">
        <f>B20+B22</f>
        <v>1148540</v>
      </c>
      <c r="C27" s="342">
        <f>C20+C22</f>
        <v>1547142.399</v>
      </c>
      <c r="D27" s="341">
        <f>D20+D22</f>
        <v>1453107.1469999999</v>
      </c>
      <c r="E27" s="343" t="s">
        <v>1354</v>
      </c>
      <c r="F27" s="341">
        <f>F20+F22</f>
        <v>982194</v>
      </c>
      <c r="G27" s="342">
        <f>G20+G21+G22</f>
        <v>1042100</v>
      </c>
      <c r="H27" s="341">
        <f>H20+H22</f>
        <v>1024772</v>
      </c>
    </row>
    <row r="28" spans="1:8" x14ac:dyDescent="0.25">
      <c r="A28" s="344" t="s">
        <v>1346</v>
      </c>
      <c r="B28" s="345">
        <f>B27-F27</f>
        <v>166346</v>
      </c>
      <c r="C28" s="345">
        <f>C27-G27</f>
        <v>505042.39899999998</v>
      </c>
      <c r="D28" s="345">
        <f>D27-H27</f>
        <v>428335.14699999988</v>
      </c>
      <c r="E28" s="346"/>
      <c r="F28" s="347"/>
      <c r="G28" s="348"/>
      <c r="H28" s="349"/>
    </row>
    <row r="29" spans="1:8" ht="13.8" thickBot="1" x14ac:dyDescent="0.3">
      <c r="A29" s="350"/>
      <c r="B29" s="28"/>
      <c r="C29" s="28"/>
      <c r="D29" s="28"/>
      <c r="E29" s="28"/>
      <c r="F29" s="28"/>
      <c r="G29" s="28"/>
      <c r="H29" s="351"/>
    </row>
    <row r="30" spans="1:8" ht="13.8" thickBot="1" x14ac:dyDescent="0.3">
      <c r="A30" s="352" t="s">
        <v>1852</v>
      </c>
      <c r="B30" s="353">
        <f>+B27+'[1]23. Felhalmozási mérleg'!B23</f>
        <v>1315665</v>
      </c>
      <c r="C30" s="353">
        <f>+C27+'[1]23. Felhalmozási mérleg'!C23</f>
        <v>2275407.4699999997</v>
      </c>
      <c r="D30" s="353">
        <f>+D27+'23.Felhalmozási mérleg'!D23</f>
        <v>1695546.1469999999</v>
      </c>
      <c r="E30" s="354" t="s">
        <v>1355</v>
      </c>
      <c r="F30" s="353">
        <f>+F27+'[1]23. Felhalmozási mérleg'!F23</f>
        <v>1266287</v>
      </c>
      <c r="G30" s="353">
        <f>+G27+'[1]23. Felhalmozási mérleg'!G23</f>
        <v>1871036.3160000001</v>
      </c>
      <c r="H30" s="355">
        <f>+H27+'23.Felhalmozási mérleg'!H23</f>
        <v>1271085</v>
      </c>
    </row>
    <row r="32" spans="1:8" x14ac:dyDescent="0.25">
      <c r="C32" s="46"/>
      <c r="G32" s="46"/>
    </row>
    <row r="33" spans="6:6" x14ac:dyDescent="0.25">
      <c r="F33" s="46"/>
    </row>
  </sheetData>
  <mergeCells count="6">
    <mergeCell ref="A1:H1"/>
    <mergeCell ref="A3:H3"/>
    <mergeCell ref="A4:H4"/>
    <mergeCell ref="C5:E5"/>
    <mergeCell ref="A8:D8"/>
    <mergeCell ref="E8:H8"/>
  </mergeCells>
  <pageMargins left="0.7" right="0.7" top="0.75" bottom="0.75" header="0.3" footer="0.3"/>
  <pageSetup paperSize="9" scale="85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workbookViewId="0">
      <selection activeCell="C12" sqref="C12"/>
    </sheetView>
  </sheetViews>
  <sheetFormatPr defaultRowHeight="13.2" x14ac:dyDescent="0.25"/>
  <cols>
    <col min="1" max="1" width="40" customWidth="1"/>
    <col min="2" max="2" width="12.6640625" customWidth="1"/>
    <col min="3" max="3" width="11.33203125" customWidth="1"/>
    <col min="4" max="4" width="13.6640625" customWidth="1"/>
    <col min="5" max="5" width="37.88671875" customWidth="1"/>
    <col min="6" max="7" width="8.88671875" customWidth="1"/>
    <col min="8" max="9" width="12.109375" customWidth="1"/>
    <col min="11" max="11" width="13.6640625" bestFit="1" customWidth="1"/>
    <col min="257" max="257" width="40" customWidth="1"/>
    <col min="259" max="259" width="8.6640625" customWidth="1"/>
    <col min="260" max="260" width="9.44140625" customWidth="1"/>
    <col min="261" max="261" width="37.88671875" customWidth="1"/>
    <col min="262" max="263" width="8.88671875" customWidth="1"/>
    <col min="264" max="265" width="12.109375" customWidth="1"/>
    <col min="513" max="513" width="40" customWidth="1"/>
    <col min="515" max="515" width="8.6640625" customWidth="1"/>
    <col min="516" max="516" width="9.44140625" customWidth="1"/>
    <col min="517" max="517" width="37.88671875" customWidth="1"/>
    <col min="518" max="519" width="8.88671875" customWidth="1"/>
    <col min="520" max="521" width="12.109375" customWidth="1"/>
    <col min="769" max="769" width="40" customWidth="1"/>
    <col min="771" max="771" width="8.6640625" customWidth="1"/>
    <col min="772" max="772" width="9.44140625" customWidth="1"/>
    <col min="773" max="773" width="37.88671875" customWidth="1"/>
    <col min="774" max="775" width="8.88671875" customWidth="1"/>
    <col min="776" max="777" width="12.109375" customWidth="1"/>
    <col min="1025" max="1025" width="40" customWidth="1"/>
    <col min="1027" max="1027" width="8.6640625" customWidth="1"/>
    <col min="1028" max="1028" width="9.44140625" customWidth="1"/>
    <col min="1029" max="1029" width="37.88671875" customWidth="1"/>
    <col min="1030" max="1031" width="8.88671875" customWidth="1"/>
    <col min="1032" max="1033" width="12.109375" customWidth="1"/>
    <col min="1281" max="1281" width="40" customWidth="1"/>
    <col min="1283" max="1283" width="8.6640625" customWidth="1"/>
    <col min="1284" max="1284" width="9.44140625" customWidth="1"/>
    <col min="1285" max="1285" width="37.88671875" customWidth="1"/>
    <col min="1286" max="1287" width="8.88671875" customWidth="1"/>
    <col min="1288" max="1289" width="12.109375" customWidth="1"/>
    <col min="1537" max="1537" width="40" customWidth="1"/>
    <col min="1539" max="1539" width="8.6640625" customWidth="1"/>
    <col min="1540" max="1540" width="9.44140625" customWidth="1"/>
    <col min="1541" max="1541" width="37.88671875" customWidth="1"/>
    <col min="1542" max="1543" width="8.88671875" customWidth="1"/>
    <col min="1544" max="1545" width="12.109375" customWidth="1"/>
    <col min="1793" max="1793" width="40" customWidth="1"/>
    <col min="1795" max="1795" width="8.6640625" customWidth="1"/>
    <col min="1796" max="1796" width="9.44140625" customWidth="1"/>
    <col min="1797" max="1797" width="37.88671875" customWidth="1"/>
    <col min="1798" max="1799" width="8.88671875" customWidth="1"/>
    <col min="1800" max="1801" width="12.109375" customWidth="1"/>
    <col min="2049" max="2049" width="40" customWidth="1"/>
    <col min="2051" max="2051" width="8.6640625" customWidth="1"/>
    <col min="2052" max="2052" width="9.44140625" customWidth="1"/>
    <col min="2053" max="2053" width="37.88671875" customWidth="1"/>
    <col min="2054" max="2055" width="8.88671875" customWidth="1"/>
    <col min="2056" max="2057" width="12.109375" customWidth="1"/>
    <col min="2305" max="2305" width="40" customWidth="1"/>
    <col min="2307" max="2307" width="8.6640625" customWidth="1"/>
    <col min="2308" max="2308" width="9.44140625" customWidth="1"/>
    <col min="2309" max="2309" width="37.88671875" customWidth="1"/>
    <col min="2310" max="2311" width="8.88671875" customWidth="1"/>
    <col min="2312" max="2313" width="12.109375" customWidth="1"/>
    <col min="2561" max="2561" width="40" customWidth="1"/>
    <col min="2563" max="2563" width="8.6640625" customWidth="1"/>
    <col min="2564" max="2564" width="9.44140625" customWidth="1"/>
    <col min="2565" max="2565" width="37.88671875" customWidth="1"/>
    <col min="2566" max="2567" width="8.88671875" customWidth="1"/>
    <col min="2568" max="2569" width="12.109375" customWidth="1"/>
    <col min="2817" max="2817" width="40" customWidth="1"/>
    <col min="2819" max="2819" width="8.6640625" customWidth="1"/>
    <col min="2820" max="2820" width="9.44140625" customWidth="1"/>
    <col min="2821" max="2821" width="37.88671875" customWidth="1"/>
    <col min="2822" max="2823" width="8.88671875" customWidth="1"/>
    <col min="2824" max="2825" width="12.109375" customWidth="1"/>
    <col min="3073" max="3073" width="40" customWidth="1"/>
    <col min="3075" max="3075" width="8.6640625" customWidth="1"/>
    <col min="3076" max="3076" width="9.44140625" customWidth="1"/>
    <col min="3077" max="3077" width="37.88671875" customWidth="1"/>
    <col min="3078" max="3079" width="8.88671875" customWidth="1"/>
    <col min="3080" max="3081" width="12.109375" customWidth="1"/>
    <col min="3329" max="3329" width="40" customWidth="1"/>
    <col min="3331" max="3331" width="8.6640625" customWidth="1"/>
    <col min="3332" max="3332" width="9.44140625" customWidth="1"/>
    <col min="3333" max="3333" width="37.88671875" customWidth="1"/>
    <col min="3334" max="3335" width="8.88671875" customWidth="1"/>
    <col min="3336" max="3337" width="12.109375" customWidth="1"/>
    <col min="3585" max="3585" width="40" customWidth="1"/>
    <col min="3587" max="3587" width="8.6640625" customWidth="1"/>
    <col min="3588" max="3588" width="9.44140625" customWidth="1"/>
    <col min="3589" max="3589" width="37.88671875" customWidth="1"/>
    <col min="3590" max="3591" width="8.88671875" customWidth="1"/>
    <col min="3592" max="3593" width="12.109375" customWidth="1"/>
    <col min="3841" max="3841" width="40" customWidth="1"/>
    <col min="3843" max="3843" width="8.6640625" customWidth="1"/>
    <col min="3844" max="3844" width="9.44140625" customWidth="1"/>
    <col min="3845" max="3845" width="37.88671875" customWidth="1"/>
    <col min="3846" max="3847" width="8.88671875" customWidth="1"/>
    <col min="3848" max="3849" width="12.109375" customWidth="1"/>
    <col min="4097" max="4097" width="40" customWidth="1"/>
    <col min="4099" max="4099" width="8.6640625" customWidth="1"/>
    <col min="4100" max="4100" width="9.44140625" customWidth="1"/>
    <col min="4101" max="4101" width="37.88671875" customWidth="1"/>
    <col min="4102" max="4103" width="8.88671875" customWidth="1"/>
    <col min="4104" max="4105" width="12.109375" customWidth="1"/>
    <col min="4353" max="4353" width="40" customWidth="1"/>
    <col min="4355" max="4355" width="8.6640625" customWidth="1"/>
    <col min="4356" max="4356" width="9.44140625" customWidth="1"/>
    <col min="4357" max="4357" width="37.88671875" customWidth="1"/>
    <col min="4358" max="4359" width="8.88671875" customWidth="1"/>
    <col min="4360" max="4361" width="12.109375" customWidth="1"/>
    <col min="4609" max="4609" width="40" customWidth="1"/>
    <col min="4611" max="4611" width="8.6640625" customWidth="1"/>
    <col min="4612" max="4612" width="9.44140625" customWidth="1"/>
    <col min="4613" max="4613" width="37.88671875" customWidth="1"/>
    <col min="4614" max="4615" width="8.88671875" customWidth="1"/>
    <col min="4616" max="4617" width="12.109375" customWidth="1"/>
    <col min="4865" max="4865" width="40" customWidth="1"/>
    <col min="4867" max="4867" width="8.6640625" customWidth="1"/>
    <col min="4868" max="4868" width="9.44140625" customWidth="1"/>
    <col min="4869" max="4869" width="37.88671875" customWidth="1"/>
    <col min="4870" max="4871" width="8.88671875" customWidth="1"/>
    <col min="4872" max="4873" width="12.109375" customWidth="1"/>
    <col min="5121" max="5121" width="40" customWidth="1"/>
    <col min="5123" max="5123" width="8.6640625" customWidth="1"/>
    <col min="5124" max="5124" width="9.44140625" customWidth="1"/>
    <col min="5125" max="5125" width="37.88671875" customWidth="1"/>
    <col min="5126" max="5127" width="8.88671875" customWidth="1"/>
    <col min="5128" max="5129" width="12.109375" customWidth="1"/>
    <col min="5377" max="5377" width="40" customWidth="1"/>
    <col min="5379" max="5379" width="8.6640625" customWidth="1"/>
    <col min="5380" max="5380" width="9.44140625" customWidth="1"/>
    <col min="5381" max="5381" width="37.88671875" customWidth="1"/>
    <col min="5382" max="5383" width="8.88671875" customWidth="1"/>
    <col min="5384" max="5385" width="12.109375" customWidth="1"/>
    <col min="5633" max="5633" width="40" customWidth="1"/>
    <col min="5635" max="5635" width="8.6640625" customWidth="1"/>
    <col min="5636" max="5636" width="9.44140625" customWidth="1"/>
    <col min="5637" max="5637" width="37.88671875" customWidth="1"/>
    <col min="5638" max="5639" width="8.88671875" customWidth="1"/>
    <col min="5640" max="5641" width="12.109375" customWidth="1"/>
    <col min="5889" max="5889" width="40" customWidth="1"/>
    <col min="5891" max="5891" width="8.6640625" customWidth="1"/>
    <col min="5892" max="5892" width="9.44140625" customWidth="1"/>
    <col min="5893" max="5893" width="37.88671875" customWidth="1"/>
    <col min="5894" max="5895" width="8.88671875" customWidth="1"/>
    <col min="5896" max="5897" width="12.109375" customWidth="1"/>
    <col min="6145" max="6145" width="40" customWidth="1"/>
    <col min="6147" max="6147" width="8.6640625" customWidth="1"/>
    <col min="6148" max="6148" width="9.44140625" customWidth="1"/>
    <col min="6149" max="6149" width="37.88671875" customWidth="1"/>
    <col min="6150" max="6151" width="8.88671875" customWidth="1"/>
    <col min="6152" max="6153" width="12.109375" customWidth="1"/>
    <col min="6401" max="6401" width="40" customWidth="1"/>
    <col min="6403" max="6403" width="8.6640625" customWidth="1"/>
    <col min="6404" max="6404" width="9.44140625" customWidth="1"/>
    <col min="6405" max="6405" width="37.88671875" customWidth="1"/>
    <col min="6406" max="6407" width="8.88671875" customWidth="1"/>
    <col min="6408" max="6409" width="12.109375" customWidth="1"/>
    <col min="6657" max="6657" width="40" customWidth="1"/>
    <col min="6659" max="6659" width="8.6640625" customWidth="1"/>
    <col min="6660" max="6660" width="9.44140625" customWidth="1"/>
    <col min="6661" max="6661" width="37.88671875" customWidth="1"/>
    <col min="6662" max="6663" width="8.88671875" customWidth="1"/>
    <col min="6664" max="6665" width="12.109375" customWidth="1"/>
    <col min="6913" max="6913" width="40" customWidth="1"/>
    <col min="6915" max="6915" width="8.6640625" customWidth="1"/>
    <col min="6916" max="6916" width="9.44140625" customWidth="1"/>
    <col min="6917" max="6917" width="37.88671875" customWidth="1"/>
    <col min="6918" max="6919" width="8.88671875" customWidth="1"/>
    <col min="6920" max="6921" width="12.109375" customWidth="1"/>
    <col min="7169" max="7169" width="40" customWidth="1"/>
    <col min="7171" max="7171" width="8.6640625" customWidth="1"/>
    <col min="7172" max="7172" width="9.44140625" customWidth="1"/>
    <col min="7173" max="7173" width="37.88671875" customWidth="1"/>
    <col min="7174" max="7175" width="8.88671875" customWidth="1"/>
    <col min="7176" max="7177" width="12.109375" customWidth="1"/>
    <col min="7425" max="7425" width="40" customWidth="1"/>
    <col min="7427" max="7427" width="8.6640625" customWidth="1"/>
    <col min="7428" max="7428" width="9.44140625" customWidth="1"/>
    <col min="7429" max="7429" width="37.88671875" customWidth="1"/>
    <col min="7430" max="7431" width="8.88671875" customWidth="1"/>
    <col min="7432" max="7433" width="12.109375" customWidth="1"/>
    <col min="7681" max="7681" width="40" customWidth="1"/>
    <col min="7683" max="7683" width="8.6640625" customWidth="1"/>
    <col min="7684" max="7684" width="9.44140625" customWidth="1"/>
    <col min="7685" max="7685" width="37.88671875" customWidth="1"/>
    <col min="7686" max="7687" width="8.88671875" customWidth="1"/>
    <col min="7688" max="7689" width="12.109375" customWidth="1"/>
    <col min="7937" max="7937" width="40" customWidth="1"/>
    <col min="7939" max="7939" width="8.6640625" customWidth="1"/>
    <col min="7940" max="7940" width="9.44140625" customWidth="1"/>
    <col min="7941" max="7941" width="37.88671875" customWidth="1"/>
    <col min="7942" max="7943" width="8.88671875" customWidth="1"/>
    <col min="7944" max="7945" width="12.109375" customWidth="1"/>
    <col min="8193" max="8193" width="40" customWidth="1"/>
    <col min="8195" max="8195" width="8.6640625" customWidth="1"/>
    <col min="8196" max="8196" width="9.44140625" customWidth="1"/>
    <col min="8197" max="8197" width="37.88671875" customWidth="1"/>
    <col min="8198" max="8199" width="8.88671875" customWidth="1"/>
    <col min="8200" max="8201" width="12.109375" customWidth="1"/>
    <col min="8449" max="8449" width="40" customWidth="1"/>
    <col min="8451" max="8451" width="8.6640625" customWidth="1"/>
    <col min="8452" max="8452" width="9.44140625" customWidth="1"/>
    <col min="8453" max="8453" width="37.88671875" customWidth="1"/>
    <col min="8454" max="8455" width="8.88671875" customWidth="1"/>
    <col min="8456" max="8457" width="12.109375" customWidth="1"/>
    <col min="8705" max="8705" width="40" customWidth="1"/>
    <col min="8707" max="8707" width="8.6640625" customWidth="1"/>
    <col min="8708" max="8708" width="9.44140625" customWidth="1"/>
    <col min="8709" max="8709" width="37.88671875" customWidth="1"/>
    <col min="8710" max="8711" width="8.88671875" customWidth="1"/>
    <col min="8712" max="8713" width="12.109375" customWidth="1"/>
    <col min="8961" max="8961" width="40" customWidth="1"/>
    <col min="8963" max="8963" width="8.6640625" customWidth="1"/>
    <col min="8964" max="8964" width="9.44140625" customWidth="1"/>
    <col min="8965" max="8965" width="37.88671875" customWidth="1"/>
    <col min="8966" max="8967" width="8.88671875" customWidth="1"/>
    <col min="8968" max="8969" width="12.109375" customWidth="1"/>
    <col min="9217" max="9217" width="40" customWidth="1"/>
    <col min="9219" max="9219" width="8.6640625" customWidth="1"/>
    <col min="9220" max="9220" width="9.44140625" customWidth="1"/>
    <col min="9221" max="9221" width="37.88671875" customWidth="1"/>
    <col min="9222" max="9223" width="8.88671875" customWidth="1"/>
    <col min="9224" max="9225" width="12.109375" customWidth="1"/>
    <col min="9473" max="9473" width="40" customWidth="1"/>
    <col min="9475" max="9475" width="8.6640625" customWidth="1"/>
    <col min="9476" max="9476" width="9.44140625" customWidth="1"/>
    <col min="9477" max="9477" width="37.88671875" customWidth="1"/>
    <col min="9478" max="9479" width="8.88671875" customWidth="1"/>
    <col min="9480" max="9481" width="12.109375" customWidth="1"/>
    <col min="9729" max="9729" width="40" customWidth="1"/>
    <col min="9731" max="9731" width="8.6640625" customWidth="1"/>
    <col min="9732" max="9732" width="9.44140625" customWidth="1"/>
    <col min="9733" max="9733" width="37.88671875" customWidth="1"/>
    <col min="9734" max="9735" width="8.88671875" customWidth="1"/>
    <col min="9736" max="9737" width="12.109375" customWidth="1"/>
    <col min="9985" max="9985" width="40" customWidth="1"/>
    <col min="9987" max="9987" width="8.6640625" customWidth="1"/>
    <col min="9988" max="9988" width="9.44140625" customWidth="1"/>
    <col min="9989" max="9989" width="37.88671875" customWidth="1"/>
    <col min="9990" max="9991" width="8.88671875" customWidth="1"/>
    <col min="9992" max="9993" width="12.109375" customWidth="1"/>
    <col min="10241" max="10241" width="40" customWidth="1"/>
    <col min="10243" max="10243" width="8.6640625" customWidth="1"/>
    <col min="10244" max="10244" width="9.44140625" customWidth="1"/>
    <col min="10245" max="10245" width="37.88671875" customWidth="1"/>
    <col min="10246" max="10247" width="8.88671875" customWidth="1"/>
    <col min="10248" max="10249" width="12.109375" customWidth="1"/>
    <col min="10497" max="10497" width="40" customWidth="1"/>
    <col min="10499" max="10499" width="8.6640625" customWidth="1"/>
    <col min="10500" max="10500" width="9.44140625" customWidth="1"/>
    <col min="10501" max="10501" width="37.88671875" customWidth="1"/>
    <col min="10502" max="10503" width="8.88671875" customWidth="1"/>
    <col min="10504" max="10505" width="12.109375" customWidth="1"/>
    <col min="10753" max="10753" width="40" customWidth="1"/>
    <col min="10755" max="10755" width="8.6640625" customWidth="1"/>
    <col min="10756" max="10756" width="9.44140625" customWidth="1"/>
    <col min="10757" max="10757" width="37.88671875" customWidth="1"/>
    <col min="10758" max="10759" width="8.88671875" customWidth="1"/>
    <col min="10760" max="10761" width="12.109375" customWidth="1"/>
    <col min="11009" max="11009" width="40" customWidth="1"/>
    <col min="11011" max="11011" width="8.6640625" customWidth="1"/>
    <col min="11012" max="11012" width="9.44140625" customWidth="1"/>
    <col min="11013" max="11013" width="37.88671875" customWidth="1"/>
    <col min="11014" max="11015" width="8.88671875" customWidth="1"/>
    <col min="11016" max="11017" width="12.109375" customWidth="1"/>
    <col min="11265" max="11265" width="40" customWidth="1"/>
    <col min="11267" max="11267" width="8.6640625" customWidth="1"/>
    <col min="11268" max="11268" width="9.44140625" customWidth="1"/>
    <col min="11269" max="11269" width="37.88671875" customWidth="1"/>
    <col min="11270" max="11271" width="8.88671875" customWidth="1"/>
    <col min="11272" max="11273" width="12.109375" customWidth="1"/>
    <col min="11521" max="11521" width="40" customWidth="1"/>
    <col min="11523" max="11523" width="8.6640625" customWidth="1"/>
    <col min="11524" max="11524" width="9.44140625" customWidth="1"/>
    <col min="11525" max="11525" width="37.88671875" customWidth="1"/>
    <col min="11526" max="11527" width="8.88671875" customWidth="1"/>
    <col min="11528" max="11529" width="12.109375" customWidth="1"/>
    <col min="11777" max="11777" width="40" customWidth="1"/>
    <col min="11779" max="11779" width="8.6640625" customWidth="1"/>
    <col min="11780" max="11780" width="9.44140625" customWidth="1"/>
    <col min="11781" max="11781" width="37.88671875" customWidth="1"/>
    <col min="11782" max="11783" width="8.88671875" customWidth="1"/>
    <col min="11784" max="11785" width="12.109375" customWidth="1"/>
    <col min="12033" max="12033" width="40" customWidth="1"/>
    <col min="12035" max="12035" width="8.6640625" customWidth="1"/>
    <col min="12036" max="12036" width="9.44140625" customWidth="1"/>
    <col min="12037" max="12037" width="37.88671875" customWidth="1"/>
    <col min="12038" max="12039" width="8.88671875" customWidth="1"/>
    <col min="12040" max="12041" width="12.109375" customWidth="1"/>
    <col min="12289" max="12289" width="40" customWidth="1"/>
    <col min="12291" max="12291" width="8.6640625" customWidth="1"/>
    <col min="12292" max="12292" width="9.44140625" customWidth="1"/>
    <col min="12293" max="12293" width="37.88671875" customWidth="1"/>
    <col min="12294" max="12295" width="8.88671875" customWidth="1"/>
    <col min="12296" max="12297" width="12.109375" customWidth="1"/>
    <col min="12545" max="12545" width="40" customWidth="1"/>
    <col min="12547" max="12547" width="8.6640625" customWidth="1"/>
    <col min="12548" max="12548" width="9.44140625" customWidth="1"/>
    <col min="12549" max="12549" width="37.88671875" customWidth="1"/>
    <col min="12550" max="12551" width="8.88671875" customWidth="1"/>
    <col min="12552" max="12553" width="12.109375" customWidth="1"/>
    <col min="12801" max="12801" width="40" customWidth="1"/>
    <col min="12803" max="12803" width="8.6640625" customWidth="1"/>
    <col min="12804" max="12804" width="9.44140625" customWidth="1"/>
    <col min="12805" max="12805" width="37.88671875" customWidth="1"/>
    <col min="12806" max="12807" width="8.88671875" customWidth="1"/>
    <col min="12808" max="12809" width="12.109375" customWidth="1"/>
    <col min="13057" max="13057" width="40" customWidth="1"/>
    <col min="13059" max="13059" width="8.6640625" customWidth="1"/>
    <col min="13060" max="13060" width="9.44140625" customWidth="1"/>
    <col min="13061" max="13061" width="37.88671875" customWidth="1"/>
    <col min="13062" max="13063" width="8.88671875" customWidth="1"/>
    <col min="13064" max="13065" width="12.109375" customWidth="1"/>
    <col min="13313" max="13313" width="40" customWidth="1"/>
    <col min="13315" max="13315" width="8.6640625" customWidth="1"/>
    <col min="13316" max="13316" width="9.44140625" customWidth="1"/>
    <col min="13317" max="13317" width="37.88671875" customWidth="1"/>
    <col min="13318" max="13319" width="8.88671875" customWidth="1"/>
    <col min="13320" max="13321" width="12.109375" customWidth="1"/>
    <col min="13569" max="13569" width="40" customWidth="1"/>
    <col min="13571" max="13571" width="8.6640625" customWidth="1"/>
    <col min="13572" max="13572" width="9.44140625" customWidth="1"/>
    <col min="13573" max="13573" width="37.88671875" customWidth="1"/>
    <col min="13574" max="13575" width="8.88671875" customWidth="1"/>
    <col min="13576" max="13577" width="12.109375" customWidth="1"/>
    <col min="13825" max="13825" width="40" customWidth="1"/>
    <col min="13827" max="13827" width="8.6640625" customWidth="1"/>
    <col min="13828" max="13828" width="9.44140625" customWidth="1"/>
    <col min="13829" max="13829" width="37.88671875" customWidth="1"/>
    <col min="13830" max="13831" width="8.88671875" customWidth="1"/>
    <col min="13832" max="13833" width="12.109375" customWidth="1"/>
    <col min="14081" max="14081" width="40" customWidth="1"/>
    <col min="14083" max="14083" width="8.6640625" customWidth="1"/>
    <col min="14084" max="14084" width="9.44140625" customWidth="1"/>
    <col min="14085" max="14085" width="37.88671875" customWidth="1"/>
    <col min="14086" max="14087" width="8.88671875" customWidth="1"/>
    <col min="14088" max="14089" width="12.109375" customWidth="1"/>
    <col min="14337" max="14337" width="40" customWidth="1"/>
    <col min="14339" max="14339" width="8.6640625" customWidth="1"/>
    <col min="14340" max="14340" width="9.44140625" customWidth="1"/>
    <col min="14341" max="14341" width="37.88671875" customWidth="1"/>
    <col min="14342" max="14343" width="8.88671875" customWidth="1"/>
    <col min="14344" max="14345" width="12.109375" customWidth="1"/>
    <col min="14593" max="14593" width="40" customWidth="1"/>
    <col min="14595" max="14595" width="8.6640625" customWidth="1"/>
    <col min="14596" max="14596" width="9.44140625" customWidth="1"/>
    <col min="14597" max="14597" width="37.88671875" customWidth="1"/>
    <col min="14598" max="14599" width="8.88671875" customWidth="1"/>
    <col min="14600" max="14601" width="12.109375" customWidth="1"/>
    <col min="14849" max="14849" width="40" customWidth="1"/>
    <col min="14851" max="14851" width="8.6640625" customWidth="1"/>
    <col min="14852" max="14852" width="9.44140625" customWidth="1"/>
    <col min="14853" max="14853" width="37.88671875" customWidth="1"/>
    <col min="14854" max="14855" width="8.88671875" customWidth="1"/>
    <col min="14856" max="14857" width="12.109375" customWidth="1"/>
    <col min="15105" max="15105" width="40" customWidth="1"/>
    <col min="15107" max="15107" width="8.6640625" customWidth="1"/>
    <col min="15108" max="15108" width="9.44140625" customWidth="1"/>
    <col min="15109" max="15109" width="37.88671875" customWidth="1"/>
    <col min="15110" max="15111" width="8.88671875" customWidth="1"/>
    <col min="15112" max="15113" width="12.109375" customWidth="1"/>
    <col min="15361" max="15361" width="40" customWidth="1"/>
    <col min="15363" max="15363" width="8.6640625" customWidth="1"/>
    <col min="15364" max="15364" width="9.44140625" customWidth="1"/>
    <col min="15365" max="15365" width="37.88671875" customWidth="1"/>
    <col min="15366" max="15367" width="8.88671875" customWidth="1"/>
    <col min="15368" max="15369" width="12.109375" customWidth="1"/>
    <col min="15617" max="15617" width="40" customWidth="1"/>
    <col min="15619" max="15619" width="8.6640625" customWidth="1"/>
    <col min="15620" max="15620" width="9.44140625" customWidth="1"/>
    <col min="15621" max="15621" width="37.88671875" customWidth="1"/>
    <col min="15622" max="15623" width="8.88671875" customWidth="1"/>
    <col min="15624" max="15625" width="12.109375" customWidth="1"/>
    <col min="15873" max="15873" width="40" customWidth="1"/>
    <col min="15875" max="15875" width="8.6640625" customWidth="1"/>
    <col min="15876" max="15876" width="9.44140625" customWidth="1"/>
    <col min="15877" max="15877" width="37.88671875" customWidth="1"/>
    <col min="15878" max="15879" width="8.88671875" customWidth="1"/>
    <col min="15880" max="15881" width="12.109375" customWidth="1"/>
    <col min="16129" max="16129" width="40" customWidth="1"/>
    <col min="16131" max="16131" width="8.6640625" customWidth="1"/>
    <col min="16132" max="16132" width="9.44140625" customWidth="1"/>
    <col min="16133" max="16133" width="37.88671875" customWidth="1"/>
    <col min="16134" max="16135" width="8.88671875" customWidth="1"/>
    <col min="16136" max="16137" width="12.109375" customWidth="1"/>
  </cols>
  <sheetData>
    <row r="1" spans="1:10" x14ac:dyDescent="0.25">
      <c r="A1" s="1173" t="s">
        <v>510</v>
      </c>
      <c r="B1" s="1173"/>
      <c r="C1" s="1173"/>
      <c r="D1" s="1173"/>
      <c r="E1" s="1173"/>
      <c r="F1" s="1173"/>
      <c r="G1" s="1173"/>
      <c r="H1" s="1173"/>
    </row>
    <row r="2" spans="1:10" x14ac:dyDescent="0.25">
      <c r="A2" s="1173" t="s">
        <v>1358</v>
      </c>
      <c r="B2" s="1173"/>
      <c r="C2" s="1173"/>
      <c r="D2" s="1173"/>
      <c r="E2" s="1173"/>
      <c r="F2" s="1173"/>
      <c r="G2" s="1173"/>
      <c r="H2" s="1173"/>
    </row>
    <row r="3" spans="1:10" x14ac:dyDescent="0.25">
      <c r="A3" s="1173" t="s">
        <v>1377</v>
      </c>
      <c r="B3" s="1173"/>
      <c r="C3" s="1173"/>
      <c r="D3" s="1173"/>
      <c r="E3" s="1173"/>
      <c r="F3" s="1173"/>
      <c r="G3" s="1173"/>
      <c r="H3" s="1173"/>
    </row>
    <row r="4" spans="1:10" x14ac:dyDescent="0.25">
      <c r="C4" s="357"/>
      <c r="D4" s="357"/>
      <c r="E4" s="357"/>
    </row>
    <row r="5" spans="1:10" x14ac:dyDescent="0.25">
      <c r="C5" s="311"/>
      <c r="D5" s="358"/>
    </row>
    <row r="6" spans="1:10" x14ac:dyDescent="0.25">
      <c r="G6" s="359"/>
    </row>
    <row r="7" spans="1:10" ht="13.8" thickBot="1" x14ac:dyDescent="0.3">
      <c r="H7" s="34" t="s">
        <v>1330</v>
      </c>
    </row>
    <row r="8" spans="1:10" ht="13.8" thickBot="1" x14ac:dyDescent="0.3">
      <c r="A8" s="428"/>
      <c r="B8" s="429" t="s">
        <v>1359</v>
      </c>
      <c r="C8" s="430" t="s">
        <v>1360</v>
      </c>
      <c r="D8" s="431" t="s">
        <v>1361</v>
      </c>
      <c r="E8" s="430" t="s">
        <v>1362</v>
      </c>
      <c r="F8" s="430" t="s">
        <v>1363</v>
      </c>
      <c r="G8" s="430"/>
      <c r="H8" s="432"/>
      <c r="I8" s="28"/>
      <c r="J8" s="28"/>
    </row>
    <row r="9" spans="1:10" x14ac:dyDescent="0.25">
      <c r="A9" s="360"/>
      <c r="B9" s="425" t="s">
        <v>505</v>
      </c>
      <c r="C9" s="426" t="s">
        <v>506</v>
      </c>
      <c r="D9" s="427" t="s">
        <v>506</v>
      </c>
      <c r="E9" s="361"/>
      <c r="F9" s="425" t="s">
        <v>505</v>
      </c>
      <c r="G9" s="426" t="s">
        <v>506</v>
      </c>
      <c r="H9" s="427" t="s">
        <v>506</v>
      </c>
      <c r="I9" s="28"/>
      <c r="J9" s="28"/>
    </row>
    <row r="10" spans="1:10" x14ac:dyDescent="0.25">
      <c r="A10" s="316" t="s">
        <v>373</v>
      </c>
      <c r="B10" s="362" t="s">
        <v>1332</v>
      </c>
      <c r="C10" s="315" t="s">
        <v>1333</v>
      </c>
      <c r="D10" s="363" t="s">
        <v>1332</v>
      </c>
      <c r="E10" s="364" t="s">
        <v>373</v>
      </c>
      <c r="F10" s="365" t="s">
        <v>1332</v>
      </c>
      <c r="G10" s="366" t="s">
        <v>1364</v>
      </c>
      <c r="H10" s="367" t="s">
        <v>1332</v>
      </c>
      <c r="I10" s="28"/>
      <c r="J10" s="28"/>
    </row>
    <row r="11" spans="1:10" x14ac:dyDescent="0.25">
      <c r="A11" s="368"/>
      <c r="B11" s="337"/>
      <c r="C11" s="337"/>
      <c r="D11" s="369"/>
      <c r="E11" s="370"/>
      <c r="F11" s="337"/>
      <c r="G11" s="337"/>
      <c r="H11" s="369"/>
      <c r="I11" s="28"/>
      <c r="J11" s="28"/>
    </row>
    <row r="12" spans="1:10" x14ac:dyDescent="0.25">
      <c r="A12" s="321" t="s">
        <v>1365</v>
      </c>
      <c r="B12" s="323">
        <v>702736</v>
      </c>
      <c r="C12" s="323">
        <v>220578</v>
      </c>
      <c r="D12" s="336">
        <v>220578</v>
      </c>
      <c r="E12" s="371" t="s">
        <v>1366</v>
      </c>
      <c r="F12" s="323">
        <v>68003</v>
      </c>
      <c r="G12" s="372">
        <v>667482</v>
      </c>
      <c r="H12" s="336">
        <v>168757</v>
      </c>
      <c r="I12" s="28"/>
      <c r="J12" s="28"/>
    </row>
    <row r="13" spans="1:10" x14ac:dyDescent="0.25">
      <c r="A13" s="321"/>
      <c r="B13" s="323"/>
      <c r="C13" s="323"/>
      <c r="D13" s="336"/>
      <c r="E13" s="371"/>
      <c r="F13" s="323"/>
      <c r="G13" s="372"/>
      <c r="H13" s="336"/>
      <c r="I13" s="28"/>
      <c r="J13" s="28"/>
    </row>
    <row r="14" spans="1:10" x14ac:dyDescent="0.25">
      <c r="A14" s="321" t="s">
        <v>1367</v>
      </c>
      <c r="B14" s="323">
        <v>35128</v>
      </c>
      <c r="C14" s="323">
        <v>34411</v>
      </c>
      <c r="D14" s="336">
        <v>21217</v>
      </c>
      <c r="E14" s="373" t="s">
        <v>1368</v>
      </c>
      <c r="F14" s="335">
        <v>376258</v>
      </c>
      <c r="G14" s="372">
        <v>77093</v>
      </c>
      <c r="H14" s="322">
        <v>77093</v>
      </c>
      <c r="I14" s="28"/>
      <c r="J14" s="28"/>
    </row>
    <row r="15" spans="1:10" x14ac:dyDescent="0.25">
      <c r="A15" s="321"/>
      <c r="B15" s="323"/>
      <c r="C15" s="323"/>
      <c r="D15" s="336"/>
      <c r="E15" s="373"/>
      <c r="F15" s="335"/>
      <c r="G15" s="372"/>
      <c r="H15" s="322"/>
      <c r="I15" s="28"/>
      <c r="J15" s="28"/>
    </row>
    <row r="16" spans="1:10" x14ac:dyDescent="0.25">
      <c r="A16" s="321"/>
      <c r="B16" s="323"/>
      <c r="C16" s="323"/>
      <c r="D16" s="336"/>
      <c r="E16" s="373" t="s">
        <v>1369</v>
      </c>
      <c r="F16" s="335">
        <v>15000</v>
      </c>
      <c r="G16" s="374">
        <v>463</v>
      </c>
      <c r="H16" s="322">
        <v>463</v>
      </c>
      <c r="I16" s="28"/>
      <c r="J16" s="28"/>
    </row>
    <row r="17" spans="1:12" ht="26.4" x14ac:dyDescent="0.25">
      <c r="A17" s="375" t="s">
        <v>1370</v>
      </c>
      <c r="B17" s="335">
        <v>397</v>
      </c>
      <c r="C17" s="323">
        <v>624</v>
      </c>
      <c r="D17" s="322">
        <v>644</v>
      </c>
      <c r="E17" s="376"/>
      <c r="F17" s="335">
        <v>0</v>
      </c>
      <c r="G17" s="335">
        <v>0</v>
      </c>
      <c r="H17" s="322">
        <v>0</v>
      </c>
      <c r="I17" s="28"/>
      <c r="J17" s="28"/>
    </row>
    <row r="18" spans="1:12" ht="31.2" x14ac:dyDescent="0.3">
      <c r="A18" s="377" t="s">
        <v>1371</v>
      </c>
      <c r="B18" s="331">
        <f>B12+B14+B17</f>
        <v>738261</v>
      </c>
      <c r="C18" s="331">
        <f>C12+C14+C17</f>
        <v>255613</v>
      </c>
      <c r="D18" s="330">
        <f>D12+D14+D17</f>
        <v>242439</v>
      </c>
      <c r="E18" s="378" t="s">
        <v>1372</v>
      </c>
      <c r="F18" s="331">
        <f>F12+F14+F16+F17</f>
        <v>459261</v>
      </c>
      <c r="G18" s="331">
        <f>G12+G14+G16+G17</f>
        <v>745038</v>
      </c>
      <c r="H18" s="330">
        <f>H12+H14+H16+H17</f>
        <v>246313</v>
      </c>
      <c r="I18" s="28"/>
      <c r="J18" s="28"/>
    </row>
    <row r="19" spans="1:12" x14ac:dyDescent="0.25">
      <c r="A19" s="379" t="s">
        <v>1346</v>
      </c>
      <c r="B19" s="334">
        <f>B18-F18</f>
        <v>279000</v>
      </c>
      <c r="C19" s="334">
        <f>C18-G18</f>
        <v>-489425</v>
      </c>
      <c r="D19" s="333">
        <f>D18-H18</f>
        <v>-3874</v>
      </c>
      <c r="E19" s="380"/>
      <c r="F19" s="381"/>
      <c r="G19" s="382"/>
      <c r="H19" s="383"/>
      <c r="I19" s="28"/>
      <c r="J19" s="28"/>
    </row>
    <row r="20" spans="1:12" x14ac:dyDescent="0.25">
      <c r="A20" s="384" t="s">
        <v>336</v>
      </c>
      <c r="B20" s="331">
        <f>SUM(B21:B21)</f>
        <v>0</v>
      </c>
      <c r="C20" s="331">
        <f>SUM(C21:C21)</f>
        <v>0</v>
      </c>
      <c r="D20" s="330">
        <f>SUM(D21:D21)</f>
        <v>0</v>
      </c>
      <c r="E20" s="385" t="s">
        <v>1373</v>
      </c>
      <c r="F20" s="331">
        <v>0</v>
      </c>
      <c r="G20" s="331">
        <v>0</v>
      </c>
      <c r="H20" s="330">
        <v>0</v>
      </c>
      <c r="I20" s="28"/>
      <c r="J20" s="28"/>
      <c r="K20" s="180"/>
    </row>
    <row r="21" spans="1:12" x14ac:dyDescent="0.25">
      <c r="A21" s="339" t="s">
        <v>1374</v>
      </c>
      <c r="B21" s="386">
        <v>0</v>
      </c>
      <c r="C21" s="337">
        <v>0</v>
      </c>
      <c r="D21" s="318">
        <v>0</v>
      </c>
      <c r="E21" s="387"/>
      <c r="F21" s="386"/>
      <c r="G21" s="388"/>
      <c r="H21" s="318"/>
    </row>
    <row r="22" spans="1:12" x14ac:dyDescent="0.25">
      <c r="A22" s="339"/>
      <c r="B22" s="386"/>
      <c r="C22" s="386"/>
      <c r="D22" s="318"/>
      <c r="E22" s="387"/>
      <c r="F22" s="386"/>
      <c r="G22" s="388"/>
      <c r="H22" s="318"/>
      <c r="K22" s="2"/>
    </row>
    <row r="23" spans="1:12" x14ac:dyDescent="0.25">
      <c r="A23" s="389" t="s">
        <v>1375</v>
      </c>
      <c r="B23" s="331">
        <f>B18+B20</f>
        <v>738261</v>
      </c>
      <c r="C23" s="331">
        <f>C18+C20</f>
        <v>255613</v>
      </c>
      <c r="D23" s="330">
        <f>D18+D20</f>
        <v>242439</v>
      </c>
      <c r="E23" s="390" t="s">
        <v>1376</v>
      </c>
      <c r="F23" s="331">
        <f>F18+F20</f>
        <v>459261</v>
      </c>
      <c r="G23" s="331">
        <f>G18+G20</f>
        <v>745038</v>
      </c>
      <c r="H23" s="330">
        <f>H18+H20</f>
        <v>246313</v>
      </c>
    </row>
    <row r="24" spans="1:12" ht="13.8" thickBot="1" x14ac:dyDescent="0.3">
      <c r="A24" s="391" t="s">
        <v>1346</v>
      </c>
      <c r="B24" s="392">
        <f>B23-F23</f>
        <v>279000</v>
      </c>
      <c r="C24" s="393">
        <f>C23-G23</f>
        <v>-489425</v>
      </c>
      <c r="D24" s="394">
        <f>D23-H23</f>
        <v>-3874</v>
      </c>
      <c r="E24" s="395"/>
      <c r="F24" s="396"/>
      <c r="G24" s="397"/>
      <c r="H24" s="398"/>
      <c r="L24" s="399"/>
    </row>
    <row r="26" spans="1:12" x14ac:dyDescent="0.25">
      <c r="B26" s="46"/>
      <c r="C26" s="46"/>
      <c r="D26" s="46"/>
    </row>
  </sheetData>
  <mergeCells count="3">
    <mergeCell ref="A1:H1"/>
    <mergeCell ref="A2:H2"/>
    <mergeCell ref="A3:H3"/>
  </mergeCells>
  <pageMargins left="0.7" right="0.7" top="0.75" bottom="0.75" header="0.3" footer="0.3"/>
  <pageSetup paperSize="9" scale="92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7"/>
  <sheetViews>
    <sheetView workbookViewId="0"/>
  </sheetViews>
  <sheetFormatPr defaultColWidth="8.88671875" defaultRowHeight="13.2" x14ac:dyDescent="0.25"/>
  <cols>
    <col min="1" max="1" width="8.109375" style="433" bestFit="1" customWidth="1"/>
    <col min="2" max="2" width="39" style="433" bestFit="1" customWidth="1"/>
    <col min="3" max="3" width="51.44140625" style="433" customWidth="1"/>
    <col min="4" max="4" width="14.6640625" style="433" customWidth="1"/>
    <col min="5" max="5" width="13.6640625" style="433" bestFit="1" customWidth="1"/>
    <col min="6" max="6" width="8.88671875" style="433"/>
    <col min="7" max="7" width="10" style="433" bestFit="1" customWidth="1"/>
    <col min="8" max="16384" width="8.88671875" style="433"/>
  </cols>
  <sheetData>
    <row r="1" spans="1:5" ht="13.8" thickBot="1" x14ac:dyDescent="0.3"/>
    <row r="2" spans="1:5" ht="15" customHeight="1" x14ac:dyDescent="0.25">
      <c r="A2" s="1174" t="s">
        <v>510</v>
      </c>
      <c r="B2" s="1175"/>
      <c r="C2" s="1175"/>
      <c r="D2" s="1175"/>
      <c r="E2" s="1176"/>
    </row>
    <row r="3" spans="1:5" ht="15" customHeight="1" thickBot="1" x14ac:dyDescent="0.3">
      <c r="A3" s="1177" t="s">
        <v>1694</v>
      </c>
      <c r="B3" s="1178"/>
      <c r="C3" s="1178"/>
      <c r="D3" s="1178"/>
      <c r="E3" s="1179"/>
    </row>
    <row r="4" spans="1:5" x14ac:dyDescent="0.25">
      <c r="A4" s="448" t="s">
        <v>1410</v>
      </c>
      <c r="B4" s="449" t="s">
        <v>1691</v>
      </c>
      <c r="C4" s="449" t="s">
        <v>373</v>
      </c>
      <c r="D4" s="450" t="s">
        <v>1692</v>
      </c>
      <c r="E4" s="451" t="s">
        <v>1695</v>
      </c>
    </row>
    <row r="5" spans="1:5" x14ac:dyDescent="0.25">
      <c r="A5" s="452">
        <v>1</v>
      </c>
      <c r="B5" s="434" t="s">
        <v>1724</v>
      </c>
      <c r="C5" s="434" t="s">
        <v>1716</v>
      </c>
      <c r="D5" s="435">
        <v>110840</v>
      </c>
      <c r="E5" s="453" t="s">
        <v>1703</v>
      </c>
    </row>
    <row r="6" spans="1:5" x14ac:dyDescent="0.25">
      <c r="A6" s="452">
        <v>2</v>
      </c>
      <c r="B6" s="434" t="s">
        <v>1724</v>
      </c>
      <c r="C6" s="434" t="s">
        <v>1717</v>
      </c>
      <c r="D6" s="435">
        <v>260700</v>
      </c>
      <c r="E6" s="453" t="s">
        <v>1703</v>
      </c>
    </row>
    <row r="7" spans="1:5" x14ac:dyDescent="0.25">
      <c r="A7" s="452">
        <v>3</v>
      </c>
      <c r="B7" s="434" t="s">
        <v>1725</v>
      </c>
      <c r="C7" s="434" t="s">
        <v>1718</v>
      </c>
      <c r="D7" s="435">
        <v>118409</v>
      </c>
      <c r="E7" s="453" t="s">
        <v>1703</v>
      </c>
    </row>
    <row r="8" spans="1:5" x14ac:dyDescent="0.25">
      <c r="A8" s="452">
        <v>4</v>
      </c>
      <c r="B8" s="434" t="s">
        <v>1726</v>
      </c>
      <c r="C8" s="434" t="s">
        <v>1719</v>
      </c>
      <c r="D8" s="435">
        <v>13378</v>
      </c>
      <c r="E8" s="453" t="s">
        <v>1703</v>
      </c>
    </row>
    <row r="9" spans="1:5" x14ac:dyDescent="0.25">
      <c r="A9" s="452">
        <v>5</v>
      </c>
      <c r="B9" s="434" t="s">
        <v>1724</v>
      </c>
      <c r="C9" s="434" t="s">
        <v>1720</v>
      </c>
      <c r="D9" s="435">
        <v>123690</v>
      </c>
      <c r="E9" s="453" t="s">
        <v>1703</v>
      </c>
    </row>
    <row r="10" spans="1:5" x14ac:dyDescent="0.25">
      <c r="A10" s="452">
        <v>6</v>
      </c>
      <c r="B10" s="434" t="s">
        <v>1727</v>
      </c>
      <c r="C10" s="434" t="s">
        <v>1721</v>
      </c>
      <c r="D10" s="435">
        <v>3750000</v>
      </c>
      <c r="E10" s="453" t="s">
        <v>1703</v>
      </c>
    </row>
    <row r="11" spans="1:5" x14ac:dyDescent="0.25">
      <c r="A11" s="452">
        <v>7</v>
      </c>
      <c r="B11" s="434" t="s">
        <v>1728</v>
      </c>
      <c r="C11" s="434" t="s">
        <v>1722</v>
      </c>
      <c r="D11" s="435">
        <v>114220</v>
      </c>
      <c r="E11" s="453" t="s">
        <v>1703</v>
      </c>
    </row>
    <row r="12" spans="1:5" x14ac:dyDescent="0.25">
      <c r="A12" s="452">
        <v>8</v>
      </c>
      <c r="B12" s="434" t="s">
        <v>1724</v>
      </c>
      <c r="C12" s="434" t="s">
        <v>1723</v>
      </c>
      <c r="D12" s="435">
        <v>49210</v>
      </c>
      <c r="E12" s="453" t="s">
        <v>1703</v>
      </c>
    </row>
    <row r="13" spans="1:5" ht="13.8" thickBot="1" x14ac:dyDescent="0.3">
      <c r="A13" s="467"/>
      <c r="B13" s="468" t="s">
        <v>1824</v>
      </c>
      <c r="C13" s="468"/>
      <c r="D13" s="469">
        <v>1225921</v>
      </c>
      <c r="E13" s="470" t="s">
        <v>1703</v>
      </c>
    </row>
    <row r="14" spans="1:5" ht="14.4" thickBot="1" x14ac:dyDescent="0.3">
      <c r="A14" s="443"/>
      <c r="B14" s="444" t="s">
        <v>1705</v>
      </c>
      <c r="C14" s="444"/>
      <c r="D14" s="445">
        <f>SUM(D5:D13)</f>
        <v>5766368</v>
      </c>
      <c r="E14" s="446" t="s">
        <v>1703</v>
      </c>
    </row>
    <row r="15" spans="1:5" x14ac:dyDescent="0.25">
      <c r="A15" s="455"/>
      <c r="B15" s="447"/>
      <c r="C15" s="447"/>
      <c r="D15" s="447"/>
      <c r="E15" s="456"/>
    </row>
    <row r="16" spans="1:5" x14ac:dyDescent="0.25">
      <c r="A16" s="452">
        <v>1</v>
      </c>
      <c r="B16" s="434" t="s">
        <v>1725</v>
      </c>
      <c r="C16" s="434" t="s">
        <v>1729</v>
      </c>
      <c r="D16" s="435">
        <v>153850</v>
      </c>
      <c r="E16" s="453" t="s">
        <v>459</v>
      </c>
    </row>
    <row r="17" spans="1:5" x14ac:dyDescent="0.25">
      <c r="A17" s="452">
        <v>2</v>
      </c>
      <c r="B17" s="434" t="s">
        <v>1732</v>
      </c>
      <c r="C17" s="434" t="s">
        <v>1730</v>
      </c>
      <c r="D17" s="435">
        <v>16929</v>
      </c>
      <c r="E17" s="453" t="s">
        <v>459</v>
      </c>
    </row>
    <row r="18" spans="1:5" x14ac:dyDescent="0.25">
      <c r="A18" s="452">
        <v>3</v>
      </c>
      <c r="B18" s="434" t="s">
        <v>1733</v>
      </c>
      <c r="C18" s="434" t="s">
        <v>1731</v>
      </c>
      <c r="D18" s="435">
        <v>389086</v>
      </c>
      <c r="E18" s="453" t="s">
        <v>459</v>
      </c>
    </row>
    <row r="19" spans="1:5" ht="13.8" thickBot="1" x14ac:dyDescent="0.3">
      <c r="A19" s="467"/>
      <c r="B19" s="468" t="s">
        <v>1838</v>
      </c>
      <c r="C19" s="468"/>
      <c r="D19" s="469">
        <v>151165</v>
      </c>
      <c r="E19" s="470" t="s">
        <v>459</v>
      </c>
    </row>
    <row r="20" spans="1:5" ht="14.4" thickBot="1" x14ac:dyDescent="0.3">
      <c r="A20" s="443"/>
      <c r="B20" s="444" t="s">
        <v>1702</v>
      </c>
      <c r="C20" s="444"/>
      <c r="D20" s="445">
        <f>SUM(D16:D19)</f>
        <v>711030</v>
      </c>
      <c r="E20" s="446" t="s">
        <v>459</v>
      </c>
    </row>
    <row r="21" spans="1:5" x14ac:dyDescent="0.25">
      <c r="A21" s="455"/>
      <c r="B21" s="447"/>
      <c r="C21" s="447"/>
      <c r="D21" s="447"/>
      <c r="E21" s="456"/>
    </row>
    <row r="22" spans="1:5" x14ac:dyDescent="0.25">
      <c r="A22" s="452">
        <v>1</v>
      </c>
      <c r="B22" s="436" t="s">
        <v>1734</v>
      </c>
      <c r="C22" s="436" t="s">
        <v>1735</v>
      </c>
      <c r="D22" s="437">
        <v>33850</v>
      </c>
      <c r="E22" s="453" t="s">
        <v>1710</v>
      </c>
    </row>
    <row r="23" spans="1:5" x14ac:dyDescent="0.25">
      <c r="A23" s="452">
        <v>2</v>
      </c>
      <c r="B23" s="436" t="s">
        <v>1736</v>
      </c>
      <c r="C23" s="436" t="s">
        <v>1737</v>
      </c>
      <c r="D23" s="437">
        <v>83700</v>
      </c>
      <c r="E23" s="453" t="s">
        <v>1710</v>
      </c>
    </row>
    <row r="24" spans="1:5" x14ac:dyDescent="0.25">
      <c r="A24" s="452">
        <v>3</v>
      </c>
      <c r="B24" s="436" t="s">
        <v>1704</v>
      </c>
      <c r="C24" s="436" t="s">
        <v>1738</v>
      </c>
      <c r="D24" s="437">
        <v>62984</v>
      </c>
      <c r="E24" s="453" t="s">
        <v>1710</v>
      </c>
    </row>
    <row r="25" spans="1:5" ht="13.8" thickBot="1" x14ac:dyDescent="0.3">
      <c r="A25" s="467"/>
      <c r="B25" s="476" t="s">
        <v>1844</v>
      </c>
      <c r="C25" s="476"/>
      <c r="D25" s="477">
        <v>48746</v>
      </c>
      <c r="E25" s="470" t="s">
        <v>1710</v>
      </c>
    </row>
    <row r="26" spans="1:5" ht="14.4" thickBot="1" x14ac:dyDescent="0.3">
      <c r="A26" s="443"/>
      <c r="B26" s="444" t="s">
        <v>1711</v>
      </c>
      <c r="C26" s="444"/>
      <c r="D26" s="445">
        <f>SUM(D22:D25)</f>
        <v>229280</v>
      </c>
      <c r="E26" s="446" t="s">
        <v>1710</v>
      </c>
    </row>
    <row r="27" spans="1:5" x14ac:dyDescent="0.25">
      <c r="A27" s="455"/>
      <c r="B27" s="447"/>
      <c r="C27" s="447"/>
      <c r="D27" s="447"/>
      <c r="E27" s="456"/>
    </row>
    <row r="28" spans="1:5" x14ac:dyDescent="0.25">
      <c r="A28" s="457">
        <v>1</v>
      </c>
      <c r="B28" s="436" t="s">
        <v>1704</v>
      </c>
      <c r="C28" s="436" t="s">
        <v>1739</v>
      </c>
      <c r="D28" s="437">
        <v>74795</v>
      </c>
      <c r="E28" s="453" t="s">
        <v>1708</v>
      </c>
    </row>
    <row r="29" spans="1:5" x14ac:dyDescent="0.25">
      <c r="A29" s="457">
        <v>2</v>
      </c>
      <c r="B29" s="436" t="s">
        <v>1740</v>
      </c>
      <c r="C29" s="436" t="s">
        <v>1741</v>
      </c>
      <c r="D29" s="437">
        <v>63720</v>
      </c>
      <c r="E29" s="479" t="s">
        <v>1708</v>
      </c>
    </row>
    <row r="30" spans="1:5" ht="13.8" thickBot="1" x14ac:dyDescent="0.3">
      <c r="A30" s="471"/>
      <c r="B30" s="476" t="s">
        <v>1845</v>
      </c>
      <c r="C30" s="476"/>
      <c r="D30" s="477">
        <v>37400</v>
      </c>
      <c r="E30" s="478" t="s">
        <v>1708</v>
      </c>
    </row>
    <row r="31" spans="1:5" ht="14.4" thickBot="1" x14ac:dyDescent="0.3">
      <c r="A31" s="443"/>
      <c r="B31" s="444" t="s">
        <v>1709</v>
      </c>
      <c r="C31" s="444"/>
      <c r="D31" s="445">
        <f>SUM(D28:D30)</f>
        <v>175915</v>
      </c>
      <c r="E31" s="446" t="s">
        <v>1708</v>
      </c>
    </row>
    <row r="32" spans="1:5" x14ac:dyDescent="0.25">
      <c r="A32" s="455"/>
      <c r="B32" s="447"/>
      <c r="C32" s="447"/>
      <c r="D32" s="447"/>
      <c r="E32" s="456"/>
    </row>
    <row r="33" spans="1:5" x14ac:dyDescent="0.25">
      <c r="A33" s="457">
        <v>1</v>
      </c>
      <c r="B33" s="438" t="s">
        <v>1725</v>
      </c>
      <c r="C33" s="438" t="s">
        <v>1742</v>
      </c>
      <c r="D33" s="439">
        <v>118409</v>
      </c>
      <c r="E33" s="453" t="s">
        <v>1706</v>
      </c>
    </row>
    <row r="34" spans="1:5" x14ac:dyDescent="0.25">
      <c r="A34" s="457">
        <v>2</v>
      </c>
      <c r="B34" s="438" t="s">
        <v>1725</v>
      </c>
      <c r="C34" s="438" t="s">
        <v>1743</v>
      </c>
      <c r="D34" s="439">
        <v>235890</v>
      </c>
      <c r="E34" s="453" t="s">
        <v>1706</v>
      </c>
    </row>
    <row r="35" spans="1:5" x14ac:dyDescent="0.25">
      <c r="A35" s="457">
        <v>3</v>
      </c>
      <c r="B35" s="438" t="s">
        <v>1744</v>
      </c>
      <c r="C35" s="438" t="s">
        <v>1745</v>
      </c>
      <c r="D35" s="439">
        <v>6370</v>
      </c>
      <c r="E35" s="453" t="s">
        <v>1706</v>
      </c>
    </row>
    <row r="36" spans="1:5" x14ac:dyDescent="0.25">
      <c r="A36" s="457">
        <v>4</v>
      </c>
      <c r="B36" s="438" t="s">
        <v>1744</v>
      </c>
      <c r="C36" s="438" t="s">
        <v>1745</v>
      </c>
      <c r="D36" s="439">
        <v>51173</v>
      </c>
      <c r="E36" s="453" t="s">
        <v>1706</v>
      </c>
    </row>
    <row r="37" spans="1:5" x14ac:dyDescent="0.25">
      <c r="A37" s="457">
        <v>5</v>
      </c>
      <c r="B37" s="438" t="s">
        <v>1746</v>
      </c>
      <c r="C37" s="438" t="s">
        <v>1768</v>
      </c>
      <c r="D37" s="439">
        <v>147181</v>
      </c>
      <c r="E37" s="453" t="s">
        <v>1706</v>
      </c>
    </row>
    <row r="38" spans="1:5" x14ac:dyDescent="0.25">
      <c r="A38" s="457">
        <v>6</v>
      </c>
      <c r="B38" s="438" t="s">
        <v>1747</v>
      </c>
      <c r="C38" s="438" t="s">
        <v>1748</v>
      </c>
      <c r="D38" s="439">
        <v>22498</v>
      </c>
      <c r="E38" s="453" t="s">
        <v>1706</v>
      </c>
    </row>
    <row r="39" spans="1:5" x14ac:dyDescent="0.25">
      <c r="A39" s="457">
        <v>7</v>
      </c>
      <c r="B39" s="438" t="s">
        <v>1749</v>
      </c>
      <c r="C39" s="438" t="s">
        <v>1750</v>
      </c>
      <c r="D39" s="439">
        <v>38559</v>
      </c>
      <c r="E39" s="453" t="s">
        <v>1706</v>
      </c>
    </row>
    <row r="40" spans="1:5" x14ac:dyDescent="0.25">
      <c r="A40" s="457">
        <v>8</v>
      </c>
      <c r="B40" s="438" t="s">
        <v>1751</v>
      </c>
      <c r="C40" s="438" t="s">
        <v>1752</v>
      </c>
      <c r="D40" s="439">
        <v>62205</v>
      </c>
      <c r="E40" s="453" t="s">
        <v>1706</v>
      </c>
    </row>
    <row r="41" spans="1:5" x14ac:dyDescent="0.25">
      <c r="A41" s="457">
        <v>9</v>
      </c>
      <c r="B41" s="438" t="s">
        <v>1753</v>
      </c>
      <c r="C41" s="438" t="s">
        <v>1754</v>
      </c>
      <c r="D41" s="439">
        <v>38740</v>
      </c>
      <c r="E41" s="453" t="s">
        <v>1706</v>
      </c>
    </row>
    <row r="42" spans="1:5" x14ac:dyDescent="0.25">
      <c r="A42" s="457">
        <v>10</v>
      </c>
      <c r="B42" s="438" t="s">
        <v>1755</v>
      </c>
      <c r="C42" s="438" t="s">
        <v>1756</v>
      </c>
      <c r="D42" s="439">
        <v>68425</v>
      </c>
      <c r="E42" s="453" t="s">
        <v>1706</v>
      </c>
    </row>
    <row r="43" spans="1:5" x14ac:dyDescent="0.25">
      <c r="A43" s="457">
        <v>11</v>
      </c>
      <c r="B43" s="438" t="s">
        <v>1757</v>
      </c>
      <c r="C43" s="438" t="s">
        <v>1758</v>
      </c>
      <c r="D43" s="439">
        <v>84252</v>
      </c>
      <c r="E43" s="453" t="s">
        <v>1706</v>
      </c>
    </row>
    <row r="44" spans="1:5" x14ac:dyDescent="0.25">
      <c r="A44" s="457">
        <v>12</v>
      </c>
      <c r="B44" s="438" t="s">
        <v>1759</v>
      </c>
      <c r="C44" s="438" t="s">
        <v>1760</v>
      </c>
      <c r="D44" s="439">
        <v>154630</v>
      </c>
      <c r="E44" s="453" t="s">
        <v>1706</v>
      </c>
    </row>
    <row r="45" spans="1:5" x14ac:dyDescent="0.25">
      <c r="A45" s="457">
        <v>13</v>
      </c>
      <c r="B45" s="438" t="s">
        <v>1755</v>
      </c>
      <c r="C45" s="438" t="s">
        <v>1756</v>
      </c>
      <c r="D45" s="439">
        <v>85748</v>
      </c>
      <c r="E45" s="453" t="s">
        <v>1706</v>
      </c>
    </row>
    <row r="46" spans="1:5" x14ac:dyDescent="0.25">
      <c r="A46" s="457">
        <v>14</v>
      </c>
      <c r="B46" s="438" t="s">
        <v>1761</v>
      </c>
      <c r="C46" s="438" t="s">
        <v>1762</v>
      </c>
      <c r="D46" s="439">
        <v>220472</v>
      </c>
      <c r="E46" s="453" t="s">
        <v>1706</v>
      </c>
    </row>
    <row r="47" spans="1:5" x14ac:dyDescent="0.25">
      <c r="A47" s="457">
        <v>15</v>
      </c>
      <c r="B47" s="438" t="s">
        <v>1755</v>
      </c>
      <c r="C47" s="438" t="s">
        <v>1763</v>
      </c>
      <c r="D47" s="439">
        <v>19441</v>
      </c>
      <c r="E47" s="453" t="s">
        <v>1706</v>
      </c>
    </row>
    <row r="48" spans="1:5" ht="13.8" thickBot="1" x14ac:dyDescent="0.3">
      <c r="A48" s="471"/>
      <c r="B48" s="472" t="s">
        <v>1843</v>
      </c>
      <c r="C48" s="472"/>
      <c r="D48" s="473">
        <v>365578</v>
      </c>
      <c r="E48" s="470" t="s">
        <v>1706</v>
      </c>
    </row>
    <row r="49" spans="1:5" ht="14.4" thickBot="1" x14ac:dyDescent="0.3">
      <c r="A49" s="443"/>
      <c r="B49" s="444" t="s">
        <v>1707</v>
      </c>
      <c r="C49" s="444"/>
      <c r="D49" s="445">
        <f>SUM(D33:D48)</f>
        <v>1719571</v>
      </c>
      <c r="E49" s="446" t="s">
        <v>1706</v>
      </c>
    </row>
    <row r="50" spans="1:5" x14ac:dyDescent="0.25">
      <c r="A50" s="455"/>
      <c r="B50" s="447"/>
      <c r="C50" s="447"/>
      <c r="D50" s="447"/>
      <c r="E50" s="456"/>
    </row>
    <row r="51" spans="1:5" x14ac:dyDescent="0.25">
      <c r="A51" s="457">
        <v>1</v>
      </c>
      <c r="B51" s="436" t="s">
        <v>1698</v>
      </c>
      <c r="C51" s="436" t="s">
        <v>1699</v>
      </c>
      <c r="D51" s="439">
        <v>212528</v>
      </c>
      <c r="E51" s="453" t="s">
        <v>1697</v>
      </c>
    </row>
    <row r="52" spans="1:5" x14ac:dyDescent="0.25">
      <c r="A52" s="457">
        <v>2</v>
      </c>
      <c r="B52" s="436" t="s">
        <v>1700</v>
      </c>
      <c r="C52" s="436" t="s">
        <v>1764</v>
      </c>
      <c r="D52" s="439">
        <v>187500</v>
      </c>
      <c r="E52" s="453" t="s">
        <v>1697</v>
      </c>
    </row>
    <row r="53" spans="1:5" x14ac:dyDescent="0.25">
      <c r="A53" s="457">
        <v>3</v>
      </c>
      <c r="B53" s="438" t="s">
        <v>1765</v>
      </c>
      <c r="C53" s="438" t="s">
        <v>1769</v>
      </c>
      <c r="D53" s="439">
        <v>36850</v>
      </c>
      <c r="E53" s="453" t="s">
        <v>1697</v>
      </c>
    </row>
    <row r="54" spans="1:5" x14ac:dyDescent="0.25">
      <c r="A54" s="457">
        <v>4</v>
      </c>
      <c r="B54" s="438" t="s">
        <v>1766</v>
      </c>
      <c r="C54" s="438" t="s">
        <v>1767</v>
      </c>
      <c r="D54" s="439">
        <v>78235</v>
      </c>
      <c r="E54" s="453" t="s">
        <v>1697</v>
      </c>
    </row>
    <row r="55" spans="1:5" ht="13.8" thickBot="1" x14ac:dyDescent="0.3">
      <c r="A55" s="471"/>
      <c r="B55" s="472" t="s">
        <v>1837</v>
      </c>
      <c r="C55" s="472"/>
      <c r="D55" s="473">
        <v>139082</v>
      </c>
      <c r="E55" s="470" t="s">
        <v>1697</v>
      </c>
    </row>
    <row r="56" spans="1:5" ht="14.4" thickBot="1" x14ac:dyDescent="0.3">
      <c r="A56" s="443"/>
      <c r="B56" s="444" t="s">
        <v>1701</v>
      </c>
      <c r="C56" s="444"/>
      <c r="D56" s="445">
        <f>SUM(D51:D55)</f>
        <v>654195</v>
      </c>
      <c r="E56" s="446" t="s">
        <v>1697</v>
      </c>
    </row>
    <row r="57" spans="1:5" x14ac:dyDescent="0.25">
      <c r="A57" s="459"/>
      <c r="B57" s="460"/>
      <c r="C57" s="460"/>
      <c r="D57" s="460"/>
      <c r="E57" s="461"/>
    </row>
    <row r="58" spans="1:5" x14ac:dyDescent="0.25">
      <c r="A58" s="457">
        <v>1</v>
      </c>
      <c r="B58" s="436" t="s">
        <v>1693</v>
      </c>
      <c r="C58" s="436" t="s">
        <v>1770</v>
      </c>
      <c r="D58" s="439">
        <v>714000</v>
      </c>
      <c r="E58" s="453" t="s">
        <v>1696</v>
      </c>
    </row>
    <row r="59" spans="1:5" x14ac:dyDescent="0.25">
      <c r="A59" s="457">
        <v>2</v>
      </c>
      <c r="B59" s="436" t="s">
        <v>1771</v>
      </c>
      <c r="C59" s="436" t="s">
        <v>1772</v>
      </c>
      <c r="D59" s="439">
        <v>42331905</v>
      </c>
      <c r="E59" s="453" t="s">
        <v>1696</v>
      </c>
    </row>
    <row r="60" spans="1:5" x14ac:dyDescent="0.25">
      <c r="A60" s="457">
        <v>3</v>
      </c>
      <c r="B60" s="436" t="s">
        <v>1773</v>
      </c>
      <c r="C60" s="436" t="s">
        <v>1774</v>
      </c>
      <c r="D60" s="439">
        <v>360000</v>
      </c>
      <c r="E60" s="453" t="s">
        <v>1696</v>
      </c>
    </row>
    <row r="61" spans="1:5" x14ac:dyDescent="0.25">
      <c r="A61" s="457">
        <v>4</v>
      </c>
      <c r="B61" s="436" t="s">
        <v>1771</v>
      </c>
      <c r="C61" s="436" t="s">
        <v>1775</v>
      </c>
      <c r="D61" s="439">
        <v>29221901</v>
      </c>
      <c r="E61" s="453" t="s">
        <v>1696</v>
      </c>
    </row>
    <row r="62" spans="1:5" x14ac:dyDescent="0.25">
      <c r="A62" s="457">
        <v>5</v>
      </c>
      <c r="B62" s="436" t="s">
        <v>1776</v>
      </c>
      <c r="C62" s="436" t="s">
        <v>1777</v>
      </c>
      <c r="D62" s="439">
        <v>5303081</v>
      </c>
      <c r="E62" s="453" t="s">
        <v>1696</v>
      </c>
    </row>
    <row r="63" spans="1:5" x14ac:dyDescent="0.25">
      <c r="A63" s="457">
        <v>6</v>
      </c>
      <c r="B63" s="436" t="s">
        <v>1778</v>
      </c>
      <c r="C63" s="436" t="s">
        <v>1779</v>
      </c>
      <c r="D63" s="439">
        <v>9000000</v>
      </c>
      <c r="E63" s="453" t="s">
        <v>1696</v>
      </c>
    </row>
    <row r="64" spans="1:5" x14ac:dyDescent="0.25">
      <c r="A64" s="457">
        <v>7</v>
      </c>
      <c r="B64" s="436" t="s">
        <v>1771</v>
      </c>
      <c r="C64" s="436" t="s">
        <v>1775</v>
      </c>
      <c r="D64" s="439">
        <v>42331904</v>
      </c>
      <c r="E64" s="453" t="s">
        <v>1696</v>
      </c>
    </row>
    <row r="65" spans="1:5" x14ac:dyDescent="0.25">
      <c r="A65" s="457">
        <v>8</v>
      </c>
      <c r="B65" s="436" t="s">
        <v>1780</v>
      </c>
      <c r="C65" s="436" t="s">
        <v>1781</v>
      </c>
      <c r="D65" s="439">
        <v>950000</v>
      </c>
      <c r="E65" s="453" t="s">
        <v>1696</v>
      </c>
    </row>
    <row r="66" spans="1:5" x14ac:dyDescent="0.25">
      <c r="A66" s="457">
        <v>9</v>
      </c>
      <c r="B66" s="436" t="s">
        <v>1782</v>
      </c>
      <c r="C66" s="436" t="s">
        <v>1783</v>
      </c>
      <c r="D66" s="439">
        <v>425000</v>
      </c>
      <c r="E66" s="453" t="s">
        <v>1696</v>
      </c>
    </row>
    <row r="67" spans="1:5" x14ac:dyDescent="0.25">
      <c r="A67" s="457">
        <v>10</v>
      </c>
      <c r="B67" s="436" t="s">
        <v>1780</v>
      </c>
      <c r="C67" s="436" t="s">
        <v>1784</v>
      </c>
      <c r="D67" s="439">
        <v>2530000</v>
      </c>
      <c r="E67" s="453" t="s">
        <v>1696</v>
      </c>
    </row>
    <row r="68" spans="1:5" x14ac:dyDescent="0.25">
      <c r="A68" s="457">
        <v>11</v>
      </c>
      <c r="B68" s="436" t="s">
        <v>1785</v>
      </c>
      <c r="C68" s="436" t="s">
        <v>1786</v>
      </c>
      <c r="D68" s="439">
        <v>400000</v>
      </c>
      <c r="E68" s="453" t="s">
        <v>1696</v>
      </c>
    </row>
    <row r="69" spans="1:5" x14ac:dyDescent="0.25">
      <c r="A69" s="457">
        <v>12</v>
      </c>
      <c r="B69" s="436" t="s">
        <v>1787</v>
      </c>
      <c r="C69" s="436" t="s">
        <v>1788</v>
      </c>
      <c r="D69" s="439">
        <v>1732283</v>
      </c>
      <c r="E69" s="453" t="s">
        <v>1696</v>
      </c>
    </row>
    <row r="70" spans="1:5" x14ac:dyDescent="0.25">
      <c r="A70" s="457">
        <v>13</v>
      </c>
      <c r="B70" s="436" t="s">
        <v>1789</v>
      </c>
      <c r="C70" s="436" t="s">
        <v>1790</v>
      </c>
      <c r="D70" s="439">
        <v>5000000</v>
      </c>
      <c r="E70" s="453" t="s">
        <v>1696</v>
      </c>
    </row>
    <row r="71" spans="1:5" x14ac:dyDescent="0.25">
      <c r="A71" s="457">
        <v>14</v>
      </c>
      <c r="B71" s="436" t="s">
        <v>1773</v>
      </c>
      <c r="C71" s="436" t="s">
        <v>1791</v>
      </c>
      <c r="D71" s="439">
        <v>311024</v>
      </c>
      <c r="E71" s="453" t="s">
        <v>1696</v>
      </c>
    </row>
    <row r="72" spans="1:5" x14ac:dyDescent="0.25">
      <c r="A72" s="457">
        <v>15</v>
      </c>
      <c r="B72" s="436" t="s">
        <v>1792</v>
      </c>
      <c r="C72" s="436" t="s">
        <v>1793</v>
      </c>
      <c r="D72" s="439">
        <v>185000</v>
      </c>
      <c r="E72" s="453" t="s">
        <v>1696</v>
      </c>
    </row>
    <row r="73" spans="1:5" x14ac:dyDescent="0.25">
      <c r="A73" s="457">
        <v>16</v>
      </c>
      <c r="B73" s="436" t="s">
        <v>1794</v>
      </c>
      <c r="C73" s="436" t="s">
        <v>1795</v>
      </c>
      <c r="D73" s="439">
        <v>1400000</v>
      </c>
      <c r="E73" s="453" t="s">
        <v>1696</v>
      </c>
    </row>
    <row r="74" spans="1:5" x14ac:dyDescent="0.25">
      <c r="A74" s="457">
        <v>17</v>
      </c>
      <c r="B74" s="436" t="s">
        <v>1773</v>
      </c>
      <c r="C74" s="436" t="s">
        <v>1796</v>
      </c>
      <c r="D74" s="439">
        <v>133858</v>
      </c>
      <c r="E74" s="453" t="s">
        <v>1696</v>
      </c>
    </row>
    <row r="75" spans="1:5" x14ac:dyDescent="0.25">
      <c r="A75" s="457">
        <v>18</v>
      </c>
      <c r="B75" s="436" t="s">
        <v>1785</v>
      </c>
      <c r="C75" s="436" t="s">
        <v>1797</v>
      </c>
      <c r="D75" s="439">
        <v>480000</v>
      </c>
      <c r="E75" s="453" t="s">
        <v>1696</v>
      </c>
    </row>
    <row r="76" spans="1:5" x14ac:dyDescent="0.25">
      <c r="A76" s="457">
        <v>19</v>
      </c>
      <c r="B76" s="436" t="s">
        <v>1787</v>
      </c>
      <c r="C76" s="436" t="s">
        <v>1788</v>
      </c>
      <c r="D76" s="439">
        <v>629921</v>
      </c>
      <c r="E76" s="453" t="s">
        <v>1696</v>
      </c>
    </row>
    <row r="77" spans="1:5" x14ac:dyDescent="0.25">
      <c r="A77" s="457">
        <v>20</v>
      </c>
      <c r="B77" s="436" t="s">
        <v>1798</v>
      </c>
      <c r="C77" s="436" t="s">
        <v>1799</v>
      </c>
      <c r="D77" s="439">
        <v>251960</v>
      </c>
      <c r="E77" s="453" t="s">
        <v>1696</v>
      </c>
    </row>
    <row r="78" spans="1:5" x14ac:dyDescent="0.25">
      <c r="A78" s="457">
        <v>21</v>
      </c>
      <c r="B78" s="436" t="s">
        <v>1798</v>
      </c>
      <c r="C78" s="436" t="s">
        <v>1799</v>
      </c>
      <c r="D78" s="439">
        <v>1961</v>
      </c>
      <c r="E78" s="453" t="s">
        <v>1696</v>
      </c>
    </row>
    <row r="79" spans="1:5" x14ac:dyDescent="0.25">
      <c r="A79" s="457">
        <v>22</v>
      </c>
      <c r="B79" s="436" t="s">
        <v>1800</v>
      </c>
      <c r="C79" s="436" t="s">
        <v>1801</v>
      </c>
      <c r="D79" s="439">
        <v>387120</v>
      </c>
      <c r="E79" s="453" t="s">
        <v>1696</v>
      </c>
    </row>
    <row r="80" spans="1:5" x14ac:dyDescent="0.25">
      <c r="A80" s="457">
        <v>23</v>
      </c>
      <c r="B80" s="436" t="s">
        <v>1802</v>
      </c>
      <c r="C80" s="436" t="s">
        <v>1803</v>
      </c>
      <c r="D80" s="439">
        <v>27543</v>
      </c>
      <c r="E80" s="453" t="s">
        <v>1696</v>
      </c>
    </row>
    <row r="81" spans="1:5" x14ac:dyDescent="0.25">
      <c r="A81" s="457">
        <v>24</v>
      </c>
      <c r="B81" s="436" t="s">
        <v>1804</v>
      </c>
      <c r="C81" s="436" t="s">
        <v>1805</v>
      </c>
      <c r="D81" s="439">
        <v>92913</v>
      </c>
      <c r="E81" s="453" t="s">
        <v>1696</v>
      </c>
    </row>
    <row r="82" spans="1:5" x14ac:dyDescent="0.25">
      <c r="A82" s="457">
        <v>25</v>
      </c>
      <c r="B82" s="436" t="s">
        <v>1806</v>
      </c>
      <c r="C82" s="436" t="s">
        <v>1807</v>
      </c>
      <c r="D82" s="439">
        <v>40528</v>
      </c>
      <c r="E82" s="453" t="s">
        <v>1696</v>
      </c>
    </row>
    <row r="83" spans="1:5" x14ac:dyDescent="0.25">
      <c r="A83" s="457">
        <v>26</v>
      </c>
      <c r="B83" s="436" t="s">
        <v>1808</v>
      </c>
      <c r="C83" s="436" t="s">
        <v>1809</v>
      </c>
      <c r="D83" s="439">
        <v>16520</v>
      </c>
      <c r="E83" s="453" t="s">
        <v>1696</v>
      </c>
    </row>
    <row r="84" spans="1:5" x14ac:dyDescent="0.25">
      <c r="A84" s="457">
        <v>27</v>
      </c>
      <c r="B84" s="436" t="s">
        <v>1806</v>
      </c>
      <c r="C84" s="436" t="s">
        <v>1810</v>
      </c>
      <c r="D84" s="439">
        <v>20732</v>
      </c>
      <c r="E84" s="453" t="s">
        <v>1696</v>
      </c>
    </row>
    <row r="85" spans="1:5" x14ac:dyDescent="0.25">
      <c r="A85" s="457">
        <v>28</v>
      </c>
      <c r="B85" s="436" t="s">
        <v>1811</v>
      </c>
      <c r="C85" s="436" t="s">
        <v>1812</v>
      </c>
      <c r="D85" s="439">
        <v>120000</v>
      </c>
      <c r="E85" s="453" t="s">
        <v>1696</v>
      </c>
    </row>
    <row r="86" spans="1:5" x14ac:dyDescent="0.25">
      <c r="A86" s="457">
        <v>29</v>
      </c>
      <c r="B86" s="436" t="s">
        <v>1813</v>
      </c>
      <c r="C86" s="436" t="s">
        <v>1805</v>
      </c>
      <c r="D86" s="439">
        <v>37638</v>
      </c>
      <c r="E86" s="453" t="s">
        <v>1696</v>
      </c>
    </row>
    <row r="87" spans="1:5" x14ac:dyDescent="0.25">
      <c r="A87" s="457">
        <v>30</v>
      </c>
      <c r="B87" s="436" t="s">
        <v>1814</v>
      </c>
      <c r="C87" s="436" t="s">
        <v>1815</v>
      </c>
      <c r="D87" s="439">
        <v>101476</v>
      </c>
      <c r="E87" s="453" t="s">
        <v>1696</v>
      </c>
    </row>
    <row r="88" spans="1:5" x14ac:dyDescent="0.25">
      <c r="A88" s="457">
        <v>31</v>
      </c>
      <c r="B88" s="436" t="s">
        <v>1814</v>
      </c>
      <c r="C88" s="436" t="s">
        <v>1815</v>
      </c>
      <c r="D88" s="439">
        <v>209000</v>
      </c>
      <c r="E88" s="453" t="s">
        <v>1696</v>
      </c>
    </row>
    <row r="89" spans="1:5" x14ac:dyDescent="0.25">
      <c r="A89" s="457">
        <v>32</v>
      </c>
      <c r="B89" s="436" t="s">
        <v>1814</v>
      </c>
      <c r="C89" s="436" t="s">
        <v>1815</v>
      </c>
      <c r="D89" s="439">
        <v>176000</v>
      </c>
      <c r="E89" s="453" t="s">
        <v>1696</v>
      </c>
    </row>
    <row r="90" spans="1:5" x14ac:dyDescent="0.25">
      <c r="A90" s="457">
        <v>33</v>
      </c>
      <c r="B90" s="436" t="s">
        <v>1814</v>
      </c>
      <c r="C90" s="436" t="s">
        <v>1815</v>
      </c>
      <c r="D90" s="439">
        <v>86010</v>
      </c>
      <c r="E90" s="453" t="s">
        <v>1696</v>
      </c>
    </row>
    <row r="91" spans="1:5" x14ac:dyDescent="0.25">
      <c r="A91" s="457">
        <v>34</v>
      </c>
      <c r="B91" s="436" t="s">
        <v>1816</v>
      </c>
      <c r="C91" s="436" t="s">
        <v>1817</v>
      </c>
      <c r="D91" s="439">
        <v>250000</v>
      </c>
      <c r="E91" s="453" t="s">
        <v>1696</v>
      </c>
    </row>
    <row r="92" spans="1:5" x14ac:dyDescent="0.25">
      <c r="A92" s="457">
        <v>35</v>
      </c>
      <c r="B92" s="436" t="s">
        <v>1749</v>
      </c>
      <c r="C92" s="436" t="s">
        <v>1818</v>
      </c>
      <c r="D92" s="439">
        <v>19827</v>
      </c>
      <c r="E92" s="453" t="s">
        <v>1696</v>
      </c>
    </row>
    <row r="93" spans="1:5" x14ac:dyDescent="0.25">
      <c r="A93" s="457">
        <v>36</v>
      </c>
      <c r="B93" s="436" t="s">
        <v>1819</v>
      </c>
      <c r="C93" s="436" t="s">
        <v>1820</v>
      </c>
      <c r="D93" s="439">
        <v>7500000</v>
      </c>
      <c r="E93" s="453" t="s">
        <v>1696</v>
      </c>
    </row>
    <row r="94" spans="1:5" x14ac:dyDescent="0.25">
      <c r="A94" s="471">
        <v>37</v>
      </c>
      <c r="B94" s="436" t="s">
        <v>1846</v>
      </c>
      <c r="C94" s="436"/>
      <c r="D94" s="439">
        <v>115245</v>
      </c>
      <c r="E94" s="453" t="s">
        <v>1696</v>
      </c>
    </row>
    <row r="95" spans="1:5" ht="13.8" thickBot="1" x14ac:dyDescent="0.3">
      <c r="A95" s="463"/>
      <c r="B95" s="464" t="s">
        <v>1823</v>
      </c>
      <c r="C95" s="464"/>
      <c r="D95" s="465">
        <v>6606469</v>
      </c>
      <c r="E95" s="466" t="s">
        <v>1696</v>
      </c>
    </row>
    <row r="96" spans="1:5" ht="14.4" thickBot="1" x14ac:dyDescent="0.3">
      <c r="A96" s="443"/>
      <c r="B96" s="444" t="s">
        <v>1821</v>
      </c>
      <c r="C96" s="444"/>
      <c r="D96" s="445">
        <f>SUM(D58:D95)</f>
        <v>159500819</v>
      </c>
      <c r="E96" s="446" t="s">
        <v>1696</v>
      </c>
    </row>
    <row r="97" spans="1:8" ht="13.8" thickBot="1" x14ac:dyDescent="0.3"/>
    <row r="98" spans="1:8" ht="14.4" thickBot="1" x14ac:dyDescent="0.3">
      <c r="A98" s="443"/>
      <c r="B98" s="444" t="s">
        <v>1822</v>
      </c>
      <c r="C98" s="444"/>
      <c r="D98" s="445">
        <f>+D14+D20+D26+D31+D49+D56+D96</f>
        <v>168757178</v>
      </c>
      <c r="E98" s="446"/>
      <c r="H98" s="458"/>
    </row>
    <row r="100" spans="1:8" x14ac:dyDescent="0.25">
      <c r="A100" s="475" t="s">
        <v>1842</v>
      </c>
    </row>
    <row r="101" spans="1:8" ht="13.8" thickBot="1" x14ac:dyDescent="0.3">
      <c r="A101" s="434"/>
      <c r="B101" s="438" t="s">
        <v>1776</v>
      </c>
      <c r="C101" s="438" t="s">
        <v>1777</v>
      </c>
      <c r="D101" s="438">
        <v>2973874</v>
      </c>
      <c r="E101" s="462" t="s">
        <v>1696</v>
      </c>
    </row>
    <row r="102" spans="1:8" ht="13.8" thickBot="1" x14ac:dyDescent="0.3">
      <c r="A102" s="434"/>
      <c r="B102" s="438" t="s">
        <v>1825</v>
      </c>
      <c r="C102" s="438" t="s">
        <v>1826</v>
      </c>
      <c r="D102" s="438">
        <v>310000</v>
      </c>
      <c r="E102" s="462" t="s">
        <v>1696</v>
      </c>
    </row>
    <row r="103" spans="1:8" ht="13.8" thickBot="1" x14ac:dyDescent="0.3">
      <c r="A103" s="434"/>
      <c r="B103" s="438" t="s">
        <v>1827</v>
      </c>
      <c r="C103" s="438" t="s">
        <v>1828</v>
      </c>
      <c r="D103" s="438">
        <v>350000</v>
      </c>
      <c r="E103" s="462" t="s">
        <v>1696</v>
      </c>
    </row>
    <row r="104" spans="1:8" ht="13.8" thickBot="1" x14ac:dyDescent="0.3">
      <c r="A104" s="434"/>
      <c r="B104" s="438" t="s">
        <v>1829</v>
      </c>
      <c r="C104" s="438" t="s">
        <v>1830</v>
      </c>
      <c r="D104" s="438">
        <v>375000</v>
      </c>
      <c r="E104" s="462" t="s">
        <v>1696</v>
      </c>
    </row>
    <row r="105" spans="1:8" ht="13.8" thickBot="1" x14ac:dyDescent="0.3">
      <c r="A105" s="434"/>
      <c r="B105" s="438" t="s">
        <v>1831</v>
      </c>
      <c r="C105" s="438" t="s">
        <v>1832</v>
      </c>
      <c r="D105" s="438">
        <v>1100070</v>
      </c>
      <c r="E105" s="462" t="s">
        <v>1696</v>
      </c>
    </row>
    <row r="106" spans="1:8" ht="13.8" thickBot="1" x14ac:dyDescent="0.3">
      <c r="A106" s="434"/>
      <c r="B106" s="438" t="s">
        <v>1833</v>
      </c>
      <c r="C106" s="438" t="s">
        <v>1834</v>
      </c>
      <c r="D106" s="438">
        <v>470000</v>
      </c>
      <c r="E106" s="462" t="s">
        <v>1696</v>
      </c>
    </row>
    <row r="107" spans="1:8" ht="13.8" thickBot="1" x14ac:dyDescent="0.3">
      <c r="A107" s="434"/>
      <c r="B107" s="438" t="s">
        <v>1776</v>
      </c>
      <c r="C107" s="438" t="s">
        <v>1777</v>
      </c>
      <c r="D107" s="438">
        <v>3032195</v>
      </c>
      <c r="E107" s="462" t="s">
        <v>1696</v>
      </c>
    </row>
    <row r="108" spans="1:8" x14ac:dyDescent="0.25">
      <c r="A108" s="441"/>
      <c r="B108" s="442" t="s">
        <v>1835</v>
      </c>
      <c r="C108" s="442" t="s">
        <v>1836</v>
      </c>
      <c r="D108" s="442">
        <v>52157843</v>
      </c>
      <c r="E108" s="454" t="s">
        <v>1696</v>
      </c>
    </row>
    <row r="109" spans="1:8" ht="13.8" thickBot="1" x14ac:dyDescent="0.3">
      <c r="A109" s="434"/>
      <c r="B109" s="438" t="s">
        <v>1839</v>
      </c>
      <c r="C109" s="438"/>
      <c r="D109" s="474">
        <v>16323926</v>
      </c>
      <c r="E109" s="434" t="s">
        <v>1696</v>
      </c>
    </row>
    <row r="110" spans="1:8" ht="14.4" thickBot="1" x14ac:dyDescent="0.3">
      <c r="A110" s="443"/>
      <c r="B110" s="444" t="s">
        <v>1840</v>
      </c>
      <c r="C110" s="444"/>
      <c r="D110" s="445">
        <f>SUM(D101:D109)</f>
        <v>77092908</v>
      </c>
      <c r="E110" s="446" t="s">
        <v>1696</v>
      </c>
    </row>
    <row r="111" spans="1:8" ht="13.8" thickBot="1" x14ac:dyDescent="0.3"/>
    <row r="112" spans="1:8" ht="14.4" thickBot="1" x14ac:dyDescent="0.3">
      <c r="A112" s="443"/>
      <c r="B112" s="444" t="s">
        <v>1841</v>
      </c>
      <c r="C112" s="444"/>
      <c r="D112" s="445">
        <f>+D110</f>
        <v>77092908</v>
      </c>
      <c r="E112" s="446"/>
    </row>
    <row r="115" spans="3:5" ht="26.4" x14ac:dyDescent="0.25">
      <c r="C115" s="480" t="s">
        <v>1712</v>
      </c>
      <c r="D115" s="480" t="s">
        <v>1847</v>
      </c>
      <c r="E115" s="480" t="s">
        <v>1713</v>
      </c>
    </row>
    <row r="116" spans="3:5" x14ac:dyDescent="0.25">
      <c r="C116" s="434" t="s">
        <v>1714</v>
      </c>
      <c r="D116" s="440">
        <v>168757178</v>
      </c>
      <c r="E116" s="435">
        <f>+D116-D98</f>
        <v>0</v>
      </c>
    </row>
    <row r="117" spans="3:5" x14ac:dyDescent="0.25">
      <c r="C117" s="434" t="s">
        <v>1715</v>
      </c>
      <c r="D117" s="440">
        <v>77092908</v>
      </c>
      <c r="E117" s="435">
        <f>+D112-D117</f>
        <v>0</v>
      </c>
    </row>
  </sheetData>
  <mergeCells count="2">
    <mergeCell ref="A2:E2"/>
    <mergeCell ref="A3:E3"/>
  </mergeCells>
  <pageMargins left="0.7" right="0.7" top="0.75" bottom="0.75" header="0.3" footer="0.3"/>
  <pageSetup paperSize="9" scale="70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10" sqref="C10"/>
    </sheetView>
  </sheetViews>
  <sheetFormatPr defaultRowHeight="13.2" x14ac:dyDescent="0.25"/>
  <cols>
    <col min="1" max="1" width="13" customWidth="1"/>
    <col min="2" max="2" width="14.33203125" customWidth="1"/>
    <col min="3" max="3" width="60.109375" customWidth="1"/>
  </cols>
  <sheetData>
    <row r="1" spans="1:3" ht="15.6" x14ac:dyDescent="0.25">
      <c r="A1" s="1180" t="s">
        <v>479</v>
      </c>
      <c r="B1" s="1180"/>
      <c r="C1" s="1180"/>
    </row>
    <row r="2" spans="1:3" ht="15.6" x14ac:dyDescent="0.25">
      <c r="A2" s="1180" t="s">
        <v>1378</v>
      </c>
      <c r="B2" s="1180"/>
      <c r="C2" s="1180"/>
    </row>
    <row r="3" spans="1:3" ht="15.6" x14ac:dyDescent="0.25">
      <c r="A3" s="1181" t="s">
        <v>1379</v>
      </c>
      <c r="B3" s="1181"/>
      <c r="C3" s="1181"/>
    </row>
    <row r="4" spans="1:3" ht="14.4" x14ac:dyDescent="0.3">
      <c r="A4" s="400"/>
      <c r="B4" s="400"/>
      <c r="C4" s="400"/>
    </row>
    <row r="5" spans="1:3" ht="15" thickBot="1" x14ac:dyDescent="0.35">
      <c r="A5" s="400"/>
      <c r="B5" s="400"/>
      <c r="C5" s="400"/>
    </row>
    <row r="6" spans="1:3" ht="15" thickBot="1" x14ac:dyDescent="0.3">
      <c r="A6" s="409" t="s">
        <v>373</v>
      </c>
      <c r="B6" s="410" t="s">
        <v>1255</v>
      </c>
      <c r="C6" s="411" t="s">
        <v>1380</v>
      </c>
    </row>
    <row r="7" spans="1:3" ht="28.8" x14ac:dyDescent="0.25">
      <c r="A7" s="406" t="s">
        <v>1381</v>
      </c>
      <c r="B7" s="407">
        <v>344934</v>
      </c>
      <c r="C7" s="408" t="s">
        <v>1382</v>
      </c>
    </row>
    <row r="8" spans="1:3" ht="28.8" x14ac:dyDescent="0.25">
      <c r="A8" s="402" t="s">
        <v>1383</v>
      </c>
      <c r="B8" s="401">
        <v>377750</v>
      </c>
      <c r="C8" s="403" t="s">
        <v>1384</v>
      </c>
    </row>
    <row r="9" spans="1:3" ht="14.4" x14ac:dyDescent="0.25">
      <c r="A9" s="402" t="s">
        <v>1385</v>
      </c>
      <c r="B9" s="401">
        <v>1316821</v>
      </c>
      <c r="C9" s="404" t="s">
        <v>1386</v>
      </c>
    </row>
    <row r="10" spans="1:3" ht="43.8" thickBot="1" x14ac:dyDescent="0.35">
      <c r="A10" s="412" t="s">
        <v>1387</v>
      </c>
      <c r="B10" s="413">
        <v>106000</v>
      </c>
      <c r="C10" s="405" t="s">
        <v>1388</v>
      </c>
    </row>
    <row r="11" spans="1:3" ht="15" thickBot="1" x14ac:dyDescent="0.35">
      <c r="A11" s="414" t="s">
        <v>1389</v>
      </c>
      <c r="B11" s="415">
        <f>SUM(B7,B8,B9,B10)</f>
        <v>2145505</v>
      </c>
      <c r="C11" s="416"/>
    </row>
    <row r="12" spans="1:3" ht="14.4" x14ac:dyDescent="0.3">
      <c r="A12" s="400"/>
      <c r="B12" s="400"/>
      <c r="C12" s="400"/>
    </row>
    <row r="13" spans="1:3" ht="14.4" x14ac:dyDescent="0.3">
      <c r="A13" s="1182" t="s">
        <v>1390</v>
      </c>
      <c r="B13" s="1182"/>
      <c r="C13" s="400"/>
    </row>
    <row r="14" spans="1:3" ht="14.4" x14ac:dyDescent="0.3">
      <c r="A14" s="400"/>
      <c r="B14" s="400"/>
      <c r="C14" s="400"/>
    </row>
  </sheetData>
  <mergeCells count="4">
    <mergeCell ref="A1:C1"/>
    <mergeCell ref="A2:C2"/>
    <mergeCell ref="A3:C3"/>
    <mergeCell ref="A13:B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03"/>
  <sheetViews>
    <sheetView view="pageBreakPreview" topLeftCell="A172" zoomScale="75" zoomScaleNormal="75" zoomScaleSheetLayoutView="75" workbookViewId="0">
      <selection activeCell="A203" sqref="A203"/>
    </sheetView>
  </sheetViews>
  <sheetFormatPr defaultRowHeight="13.2" x14ac:dyDescent="0.25"/>
  <cols>
    <col min="1" max="1" width="8.44140625" style="15" customWidth="1"/>
    <col min="2" max="2" width="40" style="15" customWidth="1"/>
    <col min="3" max="3" width="14.6640625" style="15" customWidth="1"/>
    <col min="4" max="6" width="14.6640625" style="16" customWidth="1"/>
    <col min="7" max="7" width="0.6640625" style="16" customWidth="1"/>
    <col min="8" max="8" width="14.6640625" style="15" customWidth="1"/>
    <col min="9" max="9" width="14.6640625" style="16" customWidth="1"/>
    <col min="10" max="10" width="17.33203125" style="16" customWidth="1"/>
    <col min="11" max="11" width="0.6640625" style="16" customWidth="1"/>
    <col min="12" max="14" width="14.6640625" style="15" customWidth="1"/>
    <col min="15" max="15" width="0.6640625" style="16" customWidth="1"/>
    <col min="16" max="19" width="13.6640625" style="15" customWidth="1"/>
    <col min="20" max="20" width="13.44140625" style="15" customWidth="1"/>
  </cols>
  <sheetData>
    <row r="1" spans="1:25" ht="24.6" x14ac:dyDescent="0.25">
      <c r="A1" s="83" t="s">
        <v>510</v>
      </c>
      <c r="B1" s="489"/>
      <c r="C1" s="489"/>
      <c r="D1" s="489"/>
      <c r="E1" s="489"/>
      <c r="F1" s="728"/>
      <c r="G1" s="490"/>
      <c r="H1" s="491"/>
      <c r="I1" s="491"/>
      <c r="J1" s="492" t="str">
        <f>+'1. Sülysáp összesen'!J1</f>
        <v>2018. ÉV KÖLTSÉGVETÉS</v>
      </c>
      <c r="K1" s="83"/>
      <c r="L1" s="83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28"/>
      <c r="X1" s="28"/>
      <c r="Y1" s="28"/>
    </row>
    <row r="2" spans="1:25" hidden="1" x14ac:dyDescent="0.25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4"/>
      <c r="V2" s="494"/>
    </row>
    <row r="3" spans="1:25" hidden="1" x14ac:dyDescent="0.25">
      <c r="A3" s="497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4"/>
      <c r="V3" s="494"/>
    </row>
    <row r="4" spans="1:25" ht="13.8" thickBot="1" x14ac:dyDescent="0.3">
      <c r="A4" s="593"/>
      <c r="B4" s="497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7"/>
      <c r="U4" s="494"/>
      <c r="V4" s="494"/>
    </row>
    <row r="5" spans="1:25" ht="14.1" hidden="1" customHeight="1" x14ac:dyDescent="0.25">
      <c r="A5" s="497"/>
      <c r="B5" s="497"/>
      <c r="C5" s="729"/>
      <c r="D5" s="729"/>
      <c r="E5" s="729"/>
      <c r="F5" s="729"/>
      <c r="G5" s="729"/>
      <c r="H5" s="730"/>
      <c r="I5" s="730"/>
      <c r="J5" s="730"/>
      <c r="K5" s="729"/>
      <c r="L5" s="731"/>
      <c r="M5" s="732"/>
      <c r="N5" s="732"/>
      <c r="O5" s="729"/>
      <c r="P5" s="730"/>
      <c r="Q5" s="730"/>
      <c r="R5" s="730"/>
      <c r="S5" s="730"/>
      <c r="T5" s="732"/>
      <c r="U5" s="494"/>
      <c r="V5" s="494"/>
    </row>
    <row r="6" spans="1:25" ht="14.1" hidden="1" customHeight="1" x14ac:dyDescent="0.25">
      <c r="A6" s="497"/>
      <c r="B6" s="497"/>
      <c r="C6" s="729"/>
      <c r="D6" s="729"/>
      <c r="E6" s="729"/>
      <c r="F6" s="729"/>
      <c r="G6" s="729"/>
      <c r="H6" s="730"/>
      <c r="I6" s="730"/>
      <c r="J6" s="730"/>
      <c r="K6" s="729"/>
      <c r="L6" s="731"/>
      <c r="M6" s="732"/>
      <c r="N6" s="732"/>
      <c r="O6" s="729"/>
      <c r="P6" s="730"/>
      <c r="Q6" s="730"/>
      <c r="R6" s="730"/>
      <c r="S6" s="730"/>
      <c r="T6" s="732"/>
      <c r="U6" s="494"/>
      <c r="V6" s="494"/>
    </row>
    <row r="7" spans="1:25" ht="15.6" x14ac:dyDescent="0.25">
      <c r="A7" s="497"/>
      <c r="B7" s="497"/>
      <c r="C7" s="1079" t="s">
        <v>415</v>
      </c>
      <c r="D7" s="1080"/>
      <c r="E7" s="1080"/>
      <c r="F7" s="1081"/>
      <c r="G7" s="733"/>
      <c r="H7" s="1079" t="s">
        <v>414</v>
      </c>
      <c r="I7" s="1082"/>
      <c r="J7" s="1082"/>
      <c r="K7" s="1082"/>
      <c r="L7" s="1082"/>
      <c r="M7" s="1082"/>
      <c r="N7" s="1083"/>
      <c r="O7" s="733"/>
      <c r="P7" s="1079" t="s">
        <v>411</v>
      </c>
      <c r="Q7" s="1080"/>
      <c r="R7" s="1080"/>
      <c r="S7" s="1080"/>
      <c r="T7" s="1081"/>
      <c r="U7" s="494"/>
      <c r="V7" s="494"/>
    </row>
    <row r="8" spans="1:25" ht="13.8" x14ac:dyDescent="0.25">
      <c r="A8" s="497"/>
      <c r="B8" s="497"/>
      <c r="C8" s="812"/>
      <c r="D8" s="735"/>
      <c r="E8" s="735"/>
      <c r="F8" s="813"/>
      <c r="G8" s="729"/>
      <c r="H8" s="1084" t="s">
        <v>424</v>
      </c>
      <c r="I8" s="1085"/>
      <c r="J8" s="1086"/>
      <c r="K8" s="495"/>
      <c r="L8" s="1077" t="s">
        <v>423</v>
      </c>
      <c r="M8" s="1076"/>
      <c r="N8" s="1087"/>
      <c r="O8" s="729"/>
      <c r="P8" s="814"/>
      <c r="Q8" s="735"/>
      <c r="R8" s="735"/>
      <c r="S8" s="735"/>
      <c r="T8" s="813"/>
      <c r="U8" s="494"/>
      <c r="V8" s="494"/>
    </row>
    <row r="9" spans="1:25" s="1" customFormat="1" ht="64.5" customHeight="1" x14ac:dyDescent="0.25">
      <c r="A9" s="140" t="s">
        <v>375</v>
      </c>
      <c r="B9" s="140" t="s">
        <v>373</v>
      </c>
      <c r="C9" s="163" t="s">
        <v>484</v>
      </c>
      <c r="D9" s="141" t="s">
        <v>485</v>
      </c>
      <c r="E9" s="141" t="s">
        <v>486</v>
      </c>
      <c r="F9" s="164" t="s">
        <v>487</v>
      </c>
      <c r="G9" s="141"/>
      <c r="H9" s="160" t="s">
        <v>497</v>
      </c>
      <c r="I9" s="142" t="s">
        <v>498</v>
      </c>
      <c r="J9" s="142" t="s">
        <v>499</v>
      </c>
      <c r="K9" s="141"/>
      <c r="L9" s="143" t="s">
        <v>500</v>
      </c>
      <c r="M9" s="143" t="s">
        <v>502</v>
      </c>
      <c r="N9" s="161" t="s">
        <v>501</v>
      </c>
      <c r="O9" s="141"/>
      <c r="P9" s="160" t="s">
        <v>494</v>
      </c>
      <c r="Q9" s="142" t="s">
        <v>495</v>
      </c>
      <c r="R9" s="142" t="s">
        <v>496</v>
      </c>
      <c r="S9" s="142" t="s">
        <v>412</v>
      </c>
      <c r="T9" s="161" t="s">
        <v>413</v>
      </c>
      <c r="U9" s="631"/>
      <c r="V9" s="631"/>
    </row>
    <row r="10" spans="1:25" ht="13.8" thickBot="1" x14ac:dyDescent="0.3">
      <c r="A10" s="748"/>
      <c r="B10" s="749"/>
      <c r="C10" s="815"/>
      <c r="D10" s="751"/>
      <c r="E10" s="751"/>
      <c r="F10" s="816"/>
      <c r="G10" s="751"/>
      <c r="H10" s="817"/>
      <c r="I10" s="728"/>
      <c r="J10" s="818"/>
      <c r="K10" s="751"/>
      <c r="L10" s="744"/>
      <c r="M10" s="754"/>
      <c r="N10" s="819"/>
      <c r="O10" s="751"/>
      <c r="P10" s="817"/>
      <c r="Q10" s="728"/>
      <c r="R10" s="728"/>
      <c r="S10" s="728"/>
      <c r="T10" s="820"/>
      <c r="U10" s="494"/>
      <c r="V10" s="494"/>
    </row>
    <row r="11" spans="1:25" ht="18" thickBot="1" x14ac:dyDescent="0.3">
      <c r="A11" s="821" t="str">
        <f>+'bevételi segédtábla'!B28</f>
        <v>Sülysáp Város Önkormányzata</v>
      </c>
      <c r="B11" s="822"/>
      <c r="C11" s="648"/>
      <c r="D11" s="648"/>
      <c r="E11" s="648"/>
      <c r="F11" s="823"/>
      <c r="G11" s="648"/>
      <c r="H11" s="824"/>
      <c r="I11" s="648"/>
      <c r="J11" s="797"/>
      <c r="K11" s="648"/>
      <c r="L11" s="825"/>
      <c r="M11" s="825"/>
      <c r="N11" s="826"/>
      <c r="O11" s="648"/>
      <c r="P11" s="824"/>
      <c r="Q11" s="647"/>
      <c r="R11" s="647"/>
      <c r="S11" s="647"/>
      <c r="T11" s="826"/>
      <c r="U11" s="494"/>
      <c r="V11" s="494"/>
    </row>
    <row r="12" spans="1:25" x14ac:dyDescent="0.25">
      <c r="A12" s="827"/>
      <c r="B12" s="828"/>
      <c r="C12" s="829"/>
      <c r="D12" s="830"/>
      <c r="E12" s="830"/>
      <c r="F12" s="831"/>
      <c r="G12" s="830"/>
      <c r="H12" s="829"/>
      <c r="I12" s="832"/>
      <c r="J12" s="833"/>
      <c r="K12" s="830"/>
      <c r="L12" s="834"/>
      <c r="M12" s="834"/>
      <c r="N12" s="835"/>
      <c r="O12" s="830"/>
      <c r="P12" s="829"/>
      <c r="Q12" s="832"/>
      <c r="R12" s="832"/>
      <c r="S12" s="832"/>
      <c r="T12" s="835"/>
      <c r="U12" s="494"/>
      <c r="V12" s="494"/>
    </row>
    <row r="13" spans="1:25" x14ac:dyDescent="0.25">
      <c r="A13" s="836" t="s">
        <v>0</v>
      </c>
      <c r="B13" s="593" t="s">
        <v>3</v>
      </c>
      <c r="C13" s="824">
        <f>+'3. Önk. Kiadások'!C13</f>
        <v>82119000</v>
      </c>
      <c r="D13" s="647">
        <f>+'3. Önk. Kiadások'!D13</f>
        <v>82119000</v>
      </c>
      <c r="E13" s="647">
        <f>+'3. Önk. Kiadások'!E13</f>
        <v>82619000</v>
      </c>
      <c r="F13" s="837">
        <f>+'3. Önk. Kiadások'!F13</f>
        <v>81970803</v>
      </c>
      <c r="G13" s="647">
        <f>+'3. Önk. Kiadások'!G13</f>
        <v>0</v>
      </c>
      <c r="H13" s="824">
        <f>+'3. Önk. Kiadások'!H13</f>
        <v>43026244</v>
      </c>
      <c r="I13" s="647">
        <f>+'3. Önk. Kiadások'!I13</f>
        <v>65061828</v>
      </c>
      <c r="J13" s="775">
        <f>+'3. Önk. Kiadások'!J13</f>
        <v>81970803</v>
      </c>
      <c r="K13" s="647"/>
      <c r="L13" s="838">
        <f>IF(D13=0,0,H13/D13)</f>
        <v>0.52394992632642867</v>
      </c>
      <c r="M13" s="838">
        <f>IF(E13=0,0,I13/E13)</f>
        <v>0.78749232016848425</v>
      </c>
      <c r="N13" s="839">
        <f>IF(F13=0,0,J13/F13)</f>
        <v>1</v>
      </c>
      <c r="O13" s="647"/>
      <c r="P13" s="824">
        <f>+'3. Önk. Kiadások'!P13</f>
        <v>0</v>
      </c>
      <c r="Q13" s="647">
        <f>+'3. Önk. Kiadások'!Q13</f>
        <v>500000</v>
      </c>
      <c r="R13" s="647">
        <f>+'3. Önk. Kiadások'!R13</f>
        <v>-648197</v>
      </c>
      <c r="S13" s="647">
        <f>+'3. Önk. Kiadások'!S13</f>
        <v>-148197</v>
      </c>
      <c r="T13" s="840">
        <f>IF(C13=0,0,S13/C13)</f>
        <v>-1.8046615277828516E-3</v>
      </c>
      <c r="U13" s="494"/>
      <c r="V13" s="494"/>
    </row>
    <row r="14" spans="1:25" x14ac:dyDescent="0.25">
      <c r="A14" s="836" t="s">
        <v>27</v>
      </c>
      <c r="B14" s="655" t="s">
        <v>28</v>
      </c>
      <c r="C14" s="824">
        <f>+'3. Önk. Kiadások'!C29</f>
        <v>12300000</v>
      </c>
      <c r="D14" s="647">
        <f>+'3. Önk. Kiadások'!D29</f>
        <v>12300000</v>
      </c>
      <c r="E14" s="647">
        <f>+'3. Önk. Kiadások'!E29</f>
        <v>12300000</v>
      </c>
      <c r="F14" s="837">
        <f>+'3. Önk. Kiadások'!F29</f>
        <v>13090501</v>
      </c>
      <c r="G14" s="648"/>
      <c r="H14" s="824">
        <f>+'3. Önk. Kiadások'!H29</f>
        <v>6881317</v>
      </c>
      <c r="I14" s="647">
        <f>+'3. Önk. Kiadások'!I29</f>
        <v>10581687</v>
      </c>
      <c r="J14" s="775">
        <f>+'3. Önk. Kiadások'!J29</f>
        <v>13085278</v>
      </c>
      <c r="K14" s="648"/>
      <c r="L14" s="838">
        <f t="shared" ref="L14:L76" si="0">IF(D14=0,0,H14/D14)</f>
        <v>0.55945666666666671</v>
      </c>
      <c r="M14" s="838">
        <f t="shared" ref="M14:M76" si="1">IF(E14=0,0,I14/E14)</f>
        <v>0.86029975609756093</v>
      </c>
      <c r="N14" s="839">
        <f t="shared" ref="N14:N76" si="2">IF(F14=0,0,J14/F14)</f>
        <v>0.99960100839532418</v>
      </c>
      <c r="O14" s="648"/>
      <c r="P14" s="824">
        <f>+'3. Önk. Kiadások'!P29</f>
        <v>0</v>
      </c>
      <c r="Q14" s="647">
        <f>+'3. Önk. Kiadások'!Q29</f>
        <v>0</v>
      </c>
      <c r="R14" s="647">
        <f>+'3. Önk. Kiadások'!R29</f>
        <v>790501</v>
      </c>
      <c r="S14" s="647">
        <f>+'3. Önk. Kiadások'!S29</f>
        <v>790501</v>
      </c>
      <c r="T14" s="840">
        <f t="shared" ref="T14:T22" si="3">IF(C14=0,0,S14/C14)</f>
        <v>6.4268373983739843E-2</v>
      </c>
      <c r="U14" s="494"/>
      <c r="V14" s="494"/>
    </row>
    <row r="15" spans="1:25" x14ac:dyDescent="0.25">
      <c r="A15" s="836" t="s">
        <v>30</v>
      </c>
      <c r="B15" s="655" t="s">
        <v>31</v>
      </c>
      <c r="C15" s="824">
        <f>+'3. Önk. Kiadások'!C32</f>
        <v>174605000</v>
      </c>
      <c r="D15" s="647">
        <f>+'3. Önk. Kiadások'!D32</f>
        <v>236573262</v>
      </c>
      <c r="E15" s="647">
        <f>+'3. Önk. Kiadások'!E32</f>
        <v>287008017</v>
      </c>
      <c r="F15" s="837">
        <f>+'3. Önk. Kiadások'!F32</f>
        <v>234128960</v>
      </c>
      <c r="G15" s="648"/>
      <c r="H15" s="824">
        <f>+'3. Önk. Kiadások'!H32</f>
        <v>112632892</v>
      </c>
      <c r="I15" s="647">
        <f>+'3. Önk. Kiadások'!I32</f>
        <v>189115933</v>
      </c>
      <c r="J15" s="775">
        <f>+'3. Önk. Kiadások'!J32</f>
        <v>230496644</v>
      </c>
      <c r="K15" s="648"/>
      <c r="L15" s="838">
        <f t="shared" si="0"/>
        <v>0.47610153001990563</v>
      </c>
      <c r="M15" s="838">
        <f t="shared" si="1"/>
        <v>0.65892212690351437</v>
      </c>
      <c r="N15" s="839">
        <f t="shared" si="2"/>
        <v>0.98448583208160156</v>
      </c>
      <c r="O15" s="648"/>
      <c r="P15" s="824">
        <f>+'3. Önk. Kiadások'!P32</f>
        <v>61968262</v>
      </c>
      <c r="Q15" s="647">
        <f>+'3. Önk. Kiadások'!Q32</f>
        <v>50434755</v>
      </c>
      <c r="R15" s="647">
        <f>+'3. Önk. Kiadások'!R32</f>
        <v>-52879057</v>
      </c>
      <c r="S15" s="647">
        <f>+'3. Önk. Kiadások'!S32</f>
        <v>59523960</v>
      </c>
      <c r="T15" s="840">
        <f t="shared" si="3"/>
        <v>0.34090638870593626</v>
      </c>
      <c r="U15" s="494"/>
      <c r="V15" s="494"/>
    </row>
    <row r="16" spans="1:25" x14ac:dyDescent="0.25">
      <c r="A16" s="836" t="s">
        <v>112</v>
      </c>
      <c r="B16" s="655" t="s">
        <v>508</v>
      </c>
      <c r="C16" s="824">
        <f>+'3. Önk. Kiadások'!C81</f>
        <v>22100000</v>
      </c>
      <c r="D16" s="647">
        <f>+'3. Önk. Kiadások'!D81</f>
        <v>23100000</v>
      </c>
      <c r="E16" s="647">
        <f>+'3. Önk. Kiadások'!E81</f>
        <v>24100000</v>
      </c>
      <c r="F16" s="837">
        <f>+'3. Önk. Kiadások'!F81</f>
        <v>23324501</v>
      </c>
      <c r="G16" s="648"/>
      <c r="H16" s="824">
        <f>+'3. Önk. Kiadások'!H81</f>
        <v>12463530</v>
      </c>
      <c r="I16" s="647">
        <f>+'3. Önk. Kiadások'!I81</f>
        <v>17751990</v>
      </c>
      <c r="J16" s="775">
        <f>+'3. Önk. Kiadások'!J81</f>
        <v>22054410</v>
      </c>
      <c r="K16" s="648"/>
      <c r="L16" s="838">
        <f t="shared" si="0"/>
        <v>0.53954675324675327</v>
      </c>
      <c r="M16" s="838">
        <f t="shared" si="1"/>
        <v>0.73659709543568463</v>
      </c>
      <c r="N16" s="839">
        <f t="shared" si="2"/>
        <v>0.94554691652353029</v>
      </c>
      <c r="O16" s="648"/>
      <c r="P16" s="824">
        <f>+'3. Önk. Kiadások'!P81</f>
        <v>1000000</v>
      </c>
      <c r="Q16" s="647">
        <f>+'3. Önk. Kiadások'!Q81</f>
        <v>1000000</v>
      </c>
      <c r="R16" s="647">
        <f>+'3. Önk. Kiadások'!R81</f>
        <v>-775499</v>
      </c>
      <c r="S16" s="647">
        <f>+'3. Önk. Kiadások'!S81</f>
        <v>1224501</v>
      </c>
      <c r="T16" s="840">
        <f t="shared" si="3"/>
        <v>5.5407285067873305E-2</v>
      </c>
      <c r="U16" s="494"/>
      <c r="V16" s="494"/>
    </row>
    <row r="17" spans="1:22" x14ac:dyDescent="0.25">
      <c r="A17" s="841" t="s">
        <v>378</v>
      </c>
      <c r="B17" s="655" t="s">
        <v>142</v>
      </c>
      <c r="C17" s="824">
        <f>+'3. Önk. Kiadások'!C106</f>
        <v>126531257</v>
      </c>
      <c r="D17" s="647">
        <f>+'3. Önk. Kiadások'!D106</f>
        <v>127250158</v>
      </c>
      <c r="E17" s="647">
        <f>+'3. Önk. Kiadások'!E106</f>
        <v>127700158</v>
      </c>
      <c r="F17" s="837">
        <f>+'3. Önk. Kiadások'!F106</f>
        <v>145312407</v>
      </c>
      <c r="G17" s="648"/>
      <c r="H17" s="824">
        <f>+'3. Önk. Kiadások'!H106</f>
        <v>87541344</v>
      </c>
      <c r="I17" s="647">
        <f>+'3. Önk. Kiadások'!I106</f>
        <v>99005461</v>
      </c>
      <c r="J17" s="775">
        <f>+'3. Önk. Kiadások'!J106</f>
        <v>130328150</v>
      </c>
      <c r="K17" s="648"/>
      <c r="L17" s="838">
        <f t="shared" si="0"/>
        <v>0.68794683932730361</v>
      </c>
      <c r="M17" s="838">
        <f t="shared" si="1"/>
        <v>0.77529630777747349</v>
      </c>
      <c r="N17" s="839">
        <f t="shared" si="2"/>
        <v>0.89688246647789682</v>
      </c>
      <c r="O17" s="648"/>
      <c r="P17" s="824">
        <f>+'3. Önk. Kiadások'!P106</f>
        <v>718901</v>
      </c>
      <c r="Q17" s="647">
        <f>+'3. Önk. Kiadások'!Q106</f>
        <v>450000</v>
      </c>
      <c r="R17" s="647">
        <f>+'3. Önk. Kiadások'!R106</f>
        <v>17612249</v>
      </c>
      <c r="S17" s="647">
        <f>+'3. Önk. Kiadások'!S106</f>
        <v>18781150</v>
      </c>
      <c r="T17" s="840">
        <f t="shared" si="3"/>
        <v>0.14843091300357508</v>
      </c>
      <c r="U17" s="494"/>
      <c r="V17" s="494"/>
    </row>
    <row r="18" spans="1:22" x14ac:dyDescent="0.25">
      <c r="A18" s="836" t="s">
        <v>159</v>
      </c>
      <c r="B18" s="655" t="s">
        <v>160</v>
      </c>
      <c r="C18" s="824">
        <f>+'3. Önk. Kiadások'!C120</f>
        <v>696367057</v>
      </c>
      <c r="D18" s="647">
        <f>+'3. Önk. Kiadások'!D120</f>
        <v>646616628</v>
      </c>
      <c r="E18" s="647">
        <f>+'3. Önk. Kiadások'!E120</f>
        <v>637231873</v>
      </c>
      <c r="F18" s="837">
        <f>+'3. Önk. Kiadások'!F120</f>
        <v>656988945</v>
      </c>
      <c r="G18" s="648"/>
      <c r="H18" s="824">
        <f>+'3. Önk. Kiadások'!H120</f>
        <v>132502306</v>
      </c>
      <c r="I18" s="647">
        <f>+'3. Önk. Kiadások'!I120</f>
        <v>138788269</v>
      </c>
      <c r="J18" s="775">
        <f>+'3. Önk. Kiadások'!J120</f>
        <v>159500819</v>
      </c>
      <c r="K18" s="648"/>
      <c r="L18" s="838">
        <f t="shared" si="0"/>
        <v>0.20491632949470023</v>
      </c>
      <c r="M18" s="838">
        <f t="shared" si="1"/>
        <v>0.21779869287862819</v>
      </c>
      <c r="N18" s="839">
        <f t="shared" si="2"/>
        <v>0.24277549906109913</v>
      </c>
      <c r="O18" s="648"/>
      <c r="P18" s="824">
        <f>+'3. Önk. Kiadások'!P120</f>
        <v>-49750429</v>
      </c>
      <c r="Q18" s="647">
        <f>+'3. Önk. Kiadások'!Q120</f>
        <v>-9384755</v>
      </c>
      <c r="R18" s="647">
        <f>+'3. Önk. Kiadások'!R120</f>
        <v>19757072</v>
      </c>
      <c r="S18" s="647">
        <f>+'3. Önk. Kiadások'!S120</f>
        <v>-39378112</v>
      </c>
      <c r="T18" s="840">
        <f t="shared" si="3"/>
        <v>-5.6547924839586428E-2</v>
      </c>
      <c r="U18" s="494"/>
      <c r="V18" s="494"/>
    </row>
    <row r="19" spans="1:22" x14ac:dyDescent="0.25">
      <c r="A19" s="836" t="s">
        <v>174</v>
      </c>
      <c r="B19" s="655" t="s">
        <v>175</v>
      </c>
      <c r="C19" s="824">
        <f>+'3. Önk. Kiadások'!C129</f>
        <v>69100000</v>
      </c>
      <c r="D19" s="647">
        <f>+'3. Önk. Kiadások'!D129</f>
        <v>50100000</v>
      </c>
      <c r="E19" s="647">
        <f>+'3. Önk. Kiadások'!E129</f>
        <v>50100000</v>
      </c>
      <c r="F19" s="837">
        <f>+'3. Önk. Kiadások'!F129</f>
        <v>77092908</v>
      </c>
      <c r="G19" s="648"/>
      <c r="H19" s="824">
        <f>+'3. Önk. Kiadások'!H129</f>
        <v>4531320</v>
      </c>
      <c r="I19" s="647">
        <f>+'3. Önk. Kiadások'!I129</f>
        <v>5007570</v>
      </c>
      <c r="J19" s="775">
        <f>+'3. Önk. Kiadások'!J129</f>
        <v>77092908</v>
      </c>
      <c r="K19" s="648"/>
      <c r="L19" s="838">
        <f t="shared" si="0"/>
        <v>9.0445508982035933E-2</v>
      </c>
      <c r="M19" s="838">
        <f t="shared" si="1"/>
        <v>9.995149700598803E-2</v>
      </c>
      <c r="N19" s="839">
        <f t="shared" si="2"/>
        <v>1</v>
      </c>
      <c r="O19" s="648"/>
      <c r="P19" s="824">
        <f>+'3. Önk. Kiadások'!P129</f>
        <v>-19000000</v>
      </c>
      <c r="Q19" s="647">
        <f>+'3. Önk. Kiadások'!Q129</f>
        <v>0</v>
      </c>
      <c r="R19" s="647">
        <f>+'3. Önk. Kiadások'!R129</f>
        <v>26992908</v>
      </c>
      <c r="S19" s="647">
        <f>+'3. Önk. Kiadások'!S129</f>
        <v>7992908</v>
      </c>
      <c r="T19" s="840">
        <f t="shared" si="3"/>
        <v>0.11567160636758321</v>
      </c>
      <c r="U19" s="494"/>
      <c r="V19" s="494"/>
    </row>
    <row r="20" spans="1:22" x14ac:dyDescent="0.25">
      <c r="A20" s="836" t="s">
        <v>184</v>
      </c>
      <c r="B20" s="655" t="s">
        <v>49</v>
      </c>
      <c r="C20" s="824">
        <f>+'3. Önk. Kiadások'!C135</f>
        <v>0</v>
      </c>
      <c r="D20" s="647">
        <f>+'3. Önk. Kiadások'!D135</f>
        <v>300766</v>
      </c>
      <c r="E20" s="647">
        <f>+'3. Önk. Kiadások'!E135</f>
        <v>7300766</v>
      </c>
      <c r="F20" s="837">
        <f>+'3. Önk. Kiadások'!F135</f>
        <v>463089</v>
      </c>
      <c r="G20" s="648"/>
      <c r="H20" s="824">
        <f>+'3. Önk. Kiadások'!H135</f>
        <v>300766</v>
      </c>
      <c r="I20" s="647">
        <f>+'3. Önk. Kiadások'!I135</f>
        <v>463089</v>
      </c>
      <c r="J20" s="775">
        <f>+'3. Önk. Kiadások'!J135</f>
        <v>463089</v>
      </c>
      <c r="K20" s="648"/>
      <c r="L20" s="838">
        <f t="shared" si="0"/>
        <v>1</v>
      </c>
      <c r="M20" s="838">
        <f t="shared" si="1"/>
        <v>6.3430193489285913E-2</v>
      </c>
      <c r="N20" s="839">
        <f t="shared" si="2"/>
        <v>1</v>
      </c>
      <c r="O20" s="648"/>
      <c r="P20" s="824">
        <f>+'3. Önk. Kiadások'!P135</f>
        <v>300766</v>
      </c>
      <c r="Q20" s="647">
        <f>+'3. Önk. Kiadások'!Q135</f>
        <v>7000000</v>
      </c>
      <c r="R20" s="647">
        <f>+'3. Önk. Kiadások'!R135</f>
        <v>-6837677</v>
      </c>
      <c r="S20" s="647">
        <f>+'3. Önk. Kiadások'!S135</f>
        <v>463089</v>
      </c>
      <c r="T20" s="840">
        <f t="shared" si="3"/>
        <v>0</v>
      </c>
      <c r="U20" s="494"/>
      <c r="V20" s="494"/>
    </row>
    <row r="21" spans="1:22" x14ac:dyDescent="0.25">
      <c r="A21" s="836" t="s">
        <v>202</v>
      </c>
      <c r="B21" s="655" t="s">
        <v>203</v>
      </c>
      <c r="C21" s="824">
        <f>+'3. Önk. Kiadások'!C145</f>
        <v>517816126.25</v>
      </c>
      <c r="D21" s="647">
        <f>+'3. Önk. Kiadások'!D145</f>
        <v>523520226</v>
      </c>
      <c r="E21" s="647">
        <f>+'3. Önk. Kiadások'!E145</f>
        <v>523520226</v>
      </c>
      <c r="F21" s="837">
        <f>+'3. Önk. Kiadások'!F145</f>
        <v>516281397</v>
      </c>
      <c r="G21" s="648"/>
      <c r="H21" s="824">
        <f>+'3. Önk. Kiadások'!H145</f>
        <v>271896006</v>
      </c>
      <c r="I21" s="647">
        <f>+'3. Önk. Kiadások'!I145</f>
        <v>392457140</v>
      </c>
      <c r="J21" s="775">
        <f>+'3. Önk. Kiadások'!J145</f>
        <v>516281397</v>
      </c>
      <c r="K21" s="648"/>
      <c r="L21" s="838">
        <f t="shared" si="0"/>
        <v>0.51936103420004254</v>
      </c>
      <c r="M21" s="838">
        <f t="shared" si="1"/>
        <v>0.74965038695563213</v>
      </c>
      <c r="N21" s="839">
        <f t="shared" si="2"/>
        <v>1</v>
      </c>
      <c r="O21" s="648"/>
      <c r="P21" s="824">
        <f>+'3. Önk. Kiadások'!P145</f>
        <v>5704099.75</v>
      </c>
      <c r="Q21" s="647">
        <f>+'3. Önk. Kiadások'!Q145</f>
        <v>0</v>
      </c>
      <c r="R21" s="647">
        <f>+'3. Önk. Kiadások'!R145</f>
        <v>-7238829</v>
      </c>
      <c r="S21" s="647">
        <f>+'3. Önk. Kiadások'!S145</f>
        <v>-1534729.25</v>
      </c>
      <c r="T21" s="840">
        <f t="shared" si="3"/>
        <v>-2.9638498536429078E-3</v>
      </c>
      <c r="U21" s="494"/>
      <c r="V21" s="494"/>
    </row>
    <row r="22" spans="1:22" x14ac:dyDescent="0.25">
      <c r="A22" s="842"/>
      <c r="B22" s="843" t="s">
        <v>380</v>
      </c>
      <c r="C22" s="844">
        <f>SUM(C13:C21)</f>
        <v>1700938440.25</v>
      </c>
      <c r="D22" s="845">
        <f t="shared" ref="D22:J22" si="4">SUM(D13:D21)</f>
        <v>1701880040</v>
      </c>
      <c r="E22" s="845">
        <f t="shared" si="4"/>
        <v>1751880040</v>
      </c>
      <c r="F22" s="846">
        <f t="shared" si="4"/>
        <v>1748653511</v>
      </c>
      <c r="G22" s="845"/>
      <c r="H22" s="844">
        <f t="shared" si="4"/>
        <v>671775725</v>
      </c>
      <c r="I22" s="845">
        <f t="shared" si="4"/>
        <v>918232967</v>
      </c>
      <c r="J22" s="847">
        <f t="shared" si="4"/>
        <v>1231273498</v>
      </c>
      <c r="K22" s="848"/>
      <c r="L22" s="849">
        <f t="shared" si="0"/>
        <v>0.39472566174523088</v>
      </c>
      <c r="M22" s="849">
        <f t="shared" si="1"/>
        <v>0.52414146290518837</v>
      </c>
      <c r="N22" s="850">
        <f t="shared" si="2"/>
        <v>0.70412662671856208</v>
      </c>
      <c r="O22" s="848"/>
      <c r="P22" s="844">
        <f t="shared" ref="P22" si="5">SUM(P13:P21)</f>
        <v>941599.75</v>
      </c>
      <c r="Q22" s="845">
        <f t="shared" ref="Q22" si="6">SUM(Q13:Q21)</f>
        <v>50000000</v>
      </c>
      <c r="R22" s="845">
        <f t="shared" ref="R22" si="7">SUM(R13:R21)</f>
        <v>-3226529</v>
      </c>
      <c r="S22" s="847">
        <f t="shared" ref="S22" si="8">SUM(S13:S21)</f>
        <v>47715070.75</v>
      </c>
      <c r="T22" s="851">
        <f t="shared" si="3"/>
        <v>2.8052203196129159E-2</v>
      </c>
      <c r="U22" s="494"/>
      <c r="V22" s="494"/>
    </row>
    <row r="23" spans="1:22" x14ac:dyDescent="0.25">
      <c r="A23" s="836"/>
      <c r="B23" s="593"/>
      <c r="C23" s="824"/>
      <c r="D23" s="648"/>
      <c r="E23" s="648"/>
      <c r="F23" s="823"/>
      <c r="G23" s="648"/>
      <c r="H23" s="824"/>
      <c r="I23" s="647"/>
      <c r="J23" s="797"/>
      <c r="K23" s="648"/>
      <c r="L23" s="838"/>
      <c r="M23" s="838"/>
      <c r="N23" s="839"/>
      <c r="O23" s="648"/>
      <c r="P23" s="824"/>
      <c r="Q23" s="647"/>
      <c r="R23" s="647"/>
      <c r="S23" s="647"/>
      <c r="T23" s="840"/>
      <c r="U23" s="494"/>
      <c r="V23" s="494"/>
    </row>
    <row r="24" spans="1:22" x14ac:dyDescent="0.25">
      <c r="A24" s="836" t="s">
        <v>242</v>
      </c>
      <c r="B24" s="593" t="s">
        <v>454</v>
      </c>
      <c r="C24" s="824">
        <f>+' 2. Önk. Bevételek'!C13</f>
        <v>617137846</v>
      </c>
      <c r="D24" s="647">
        <f>+' 2. Önk. Bevételek'!D13</f>
        <v>600347025</v>
      </c>
      <c r="E24" s="647">
        <f>+' 2. Önk. Bevételek'!E13</f>
        <v>606967468</v>
      </c>
      <c r="F24" s="837">
        <f>+' 2. Önk. Bevételek'!F13</f>
        <v>620873897</v>
      </c>
      <c r="G24" s="647">
        <f>+'3. Önk. Kiadások'!G13</f>
        <v>0</v>
      </c>
      <c r="H24" s="824">
        <f>+' 2. Önk. Bevételek'!H13</f>
        <v>311587916</v>
      </c>
      <c r="I24" s="647">
        <f>+' 2. Önk. Bevételek'!I13</f>
        <v>479165852</v>
      </c>
      <c r="J24" s="775">
        <f>+' 2. Önk. Bevételek'!J13</f>
        <v>620873897</v>
      </c>
      <c r="K24" s="647"/>
      <c r="L24" s="838">
        <f t="shared" si="0"/>
        <v>0.5190130091841465</v>
      </c>
      <c r="M24" s="838">
        <f t="shared" si="1"/>
        <v>0.78944239561781593</v>
      </c>
      <c r="N24" s="839">
        <f t="shared" si="2"/>
        <v>1</v>
      </c>
      <c r="O24" s="647"/>
      <c r="P24" s="824">
        <f>+' 2. Önk. Bevételek'!P13</f>
        <v>-16790821</v>
      </c>
      <c r="Q24" s="647">
        <f>+' 2. Önk. Bevételek'!Q13</f>
        <v>6620443</v>
      </c>
      <c r="R24" s="647">
        <f>+' 2. Önk. Bevételek'!R13</f>
        <v>13906429</v>
      </c>
      <c r="S24" s="647">
        <f>+' 2. Önk. Bevételek'!S13</f>
        <v>3736051</v>
      </c>
      <c r="T24" s="840">
        <f t="shared" ref="T24:T28" si="9">IF(S24=0,0,S24/C24)</f>
        <v>6.0538354991763058E-3</v>
      </c>
      <c r="U24" s="494"/>
      <c r="V24" s="494"/>
    </row>
    <row r="25" spans="1:22" x14ac:dyDescent="0.25">
      <c r="A25" s="841" t="s">
        <v>263</v>
      </c>
      <c r="B25" s="593" t="s">
        <v>453</v>
      </c>
      <c r="C25" s="824">
        <f>+' 2. Önk. Bevételek'!C30</f>
        <v>262000000</v>
      </c>
      <c r="D25" s="647">
        <f>+' 2. Önk. Bevételek'!D30</f>
        <v>265315728</v>
      </c>
      <c r="E25" s="647">
        <f>+' 2. Önk. Bevételek'!E30</f>
        <v>265315728</v>
      </c>
      <c r="F25" s="837">
        <f>+' 2. Önk. Bevételek'!F30</f>
        <v>220578157</v>
      </c>
      <c r="G25" s="648"/>
      <c r="H25" s="824">
        <f>+' 2. Önk. Bevételek'!H30</f>
        <v>215315728</v>
      </c>
      <c r="I25" s="647">
        <f>+' 2. Önk. Bevételek'!I30</f>
        <v>218778157</v>
      </c>
      <c r="J25" s="775">
        <f>+' 2. Önk. Bevételek'!J30</f>
        <v>220578157</v>
      </c>
      <c r="K25" s="648"/>
      <c r="L25" s="838">
        <f t="shared" si="0"/>
        <v>0.81154528464290665</v>
      </c>
      <c r="M25" s="838">
        <f t="shared" si="1"/>
        <v>0.82459550607568954</v>
      </c>
      <c r="N25" s="839">
        <f t="shared" si="2"/>
        <v>1</v>
      </c>
      <c r="O25" s="648"/>
      <c r="P25" s="824">
        <f>+' 2. Önk. Bevételek'!P30</f>
        <v>3315728</v>
      </c>
      <c r="Q25" s="647">
        <f>+' 2. Önk. Bevételek'!Q30</f>
        <v>0</v>
      </c>
      <c r="R25" s="647">
        <f>+' 2. Önk. Bevételek'!R30</f>
        <v>-44737571</v>
      </c>
      <c r="S25" s="647">
        <f>+' 2. Önk. Bevételek'!S30</f>
        <v>-41421843</v>
      </c>
      <c r="T25" s="840">
        <f t="shared" si="9"/>
        <v>-0.15809863740458016</v>
      </c>
      <c r="U25" s="494"/>
      <c r="V25" s="494"/>
    </row>
    <row r="26" spans="1:22" x14ac:dyDescent="0.25">
      <c r="A26" s="841" t="s">
        <v>271</v>
      </c>
      <c r="B26" s="593" t="s">
        <v>272</v>
      </c>
      <c r="C26" s="824">
        <f>+' 2. Önk. Bevételek'!C39</f>
        <v>205000000</v>
      </c>
      <c r="D26" s="647">
        <f>+' 2. Önk. Bevételek'!D39</f>
        <v>206000000</v>
      </c>
      <c r="E26" s="647">
        <f>+' 2. Önk. Bevételek'!E39</f>
        <v>206000000</v>
      </c>
      <c r="F26" s="837">
        <f>+' 2. Önk. Bevételek'!F39</f>
        <v>259000000</v>
      </c>
      <c r="G26" s="648"/>
      <c r="H26" s="824">
        <f>+' 2. Önk. Bevételek'!H39</f>
        <v>125571595</v>
      </c>
      <c r="I26" s="647">
        <f>+' 2. Önk. Bevételek'!I39</f>
        <v>198060016</v>
      </c>
      <c r="J26" s="775">
        <f>+' 2. Önk. Bevételek'!J39</f>
        <v>245141050</v>
      </c>
      <c r="K26" s="648"/>
      <c r="L26" s="838">
        <f t="shared" si="0"/>
        <v>0.60957084951456308</v>
      </c>
      <c r="M26" s="838">
        <f t="shared" si="1"/>
        <v>0.96145638834951452</v>
      </c>
      <c r="N26" s="839">
        <f t="shared" si="2"/>
        <v>0.94649054054054049</v>
      </c>
      <c r="O26" s="648"/>
      <c r="P26" s="824">
        <f>+' 2. Önk. Bevételek'!P39</f>
        <v>1000000</v>
      </c>
      <c r="Q26" s="647">
        <f>+' 2. Önk. Bevételek'!Q39</f>
        <v>0</v>
      </c>
      <c r="R26" s="647">
        <f>+' 2. Önk. Bevételek'!R39</f>
        <v>53000000</v>
      </c>
      <c r="S26" s="647">
        <f>+' 2. Önk. Bevételek'!S39</f>
        <v>54000000</v>
      </c>
      <c r="T26" s="840">
        <f t="shared" si="9"/>
        <v>0.26341463414634148</v>
      </c>
      <c r="U26" s="494"/>
      <c r="V26" s="494"/>
    </row>
    <row r="27" spans="1:22" x14ac:dyDescent="0.25">
      <c r="A27" s="841" t="s">
        <v>285</v>
      </c>
      <c r="B27" s="593" t="s">
        <v>286</v>
      </c>
      <c r="C27" s="824">
        <f>+' 2. Önk. Bevételek'!C50</f>
        <v>53826000</v>
      </c>
      <c r="D27" s="647">
        <f>+' 2. Önk. Bevételek'!D50</f>
        <v>70076030</v>
      </c>
      <c r="E27" s="647">
        <f>+' 2. Önk. Bevételek'!E50</f>
        <v>120076030</v>
      </c>
      <c r="F27" s="837">
        <f>+' 2. Önk. Bevételek'!F50</f>
        <v>150652038</v>
      </c>
      <c r="G27" s="648"/>
      <c r="H27" s="824">
        <f>+' 2. Önk. Bevételek'!H50</f>
        <v>42255037</v>
      </c>
      <c r="I27" s="647">
        <f>+' 2. Önk. Bevételek'!I50</f>
        <v>57590433</v>
      </c>
      <c r="J27" s="775">
        <f>+' 2. Önk. Bevételek'!J50</f>
        <v>71522444</v>
      </c>
      <c r="K27" s="648"/>
      <c r="L27" s="838">
        <f t="shared" si="0"/>
        <v>0.60298845411191249</v>
      </c>
      <c r="M27" s="838">
        <f t="shared" si="1"/>
        <v>0.47961639804380607</v>
      </c>
      <c r="N27" s="839">
        <f t="shared" si="2"/>
        <v>0.47475258184028019</v>
      </c>
      <c r="O27" s="648"/>
      <c r="P27" s="824">
        <f>+' 2. Önk. Bevételek'!P50</f>
        <v>16250030</v>
      </c>
      <c r="Q27" s="647">
        <f>+' 2. Önk. Bevételek'!Q50</f>
        <v>50000000</v>
      </c>
      <c r="R27" s="647">
        <f>+' 2. Önk. Bevételek'!R50</f>
        <v>30576008</v>
      </c>
      <c r="S27" s="647">
        <f>+' 2. Önk. Bevételek'!S50</f>
        <v>96826038</v>
      </c>
      <c r="T27" s="840">
        <f t="shared" si="9"/>
        <v>1.7988711403410991</v>
      </c>
      <c r="U27" s="494"/>
      <c r="V27" s="494"/>
    </row>
    <row r="28" spans="1:22" x14ac:dyDescent="0.25">
      <c r="A28" s="841" t="s">
        <v>311</v>
      </c>
      <c r="B28" s="593" t="s">
        <v>312</v>
      </c>
      <c r="C28" s="824">
        <f>+' 2. Önk. Bevételek'!C67</f>
        <v>100700000</v>
      </c>
      <c r="D28" s="647">
        <f>+' 2. Önk. Bevételek'!D67</f>
        <v>97252913</v>
      </c>
      <c r="E28" s="647">
        <f>+' 2. Önk. Bevételek'!E67</f>
        <v>90632470</v>
      </c>
      <c r="F28" s="837">
        <f>+' 2. Önk. Bevételek'!F67</f>
        <v>34411075</v>
      </c>
      <c r="G28" s="648"/>
      <c r="H28" s="824">
        <f>+' 2. Önk. Bevételek'!H67</f>
        <v>11629471</v>
      </c>
      <c r="I28" s="647">
        <f>+' 2. Önk. Bevételek'!I67</f>
        <v>15967376</v>
      </c>
      <c r="J28" s="775">
        <f>+' 2. Önk. Bevételek'!J67</f>
        <v>21217407</v>
      </c>
      <c r="K28" s="648"/>
      <c r="L28" s="838">
        <f t="shared" si="0"/>
        <v>0.11957966750055085</v>
      </c>
      <c r="M28" s="838">
        <f t="shared" si="1"/>
        <v>0.17617721330997599</v>
      </c>
      <c r="N28" s="839">
        <f t="shared" si="2"/>
        <v>0.61658657859424615</v>
      </c>
      <c r="O28" s="648"/>
      <c r="P28" s="824">
        <f>+' 2. Önk. Bevételek'!P67</f>
        <v>-3447087</v>
      </c>
      <c r="Q28" s="647">
        <f>+' 2. Önk. Bevételek'!Q67</f>
        <v>-6620443</v>
      </c>
      <c r="R28" s="647">
        <f>+' 2. Önk. Bevételek'!R67</f>
        <v>-56221395</v>
      </c>
      <c r="S28" s="647">
        <f>+' 2. Önk. Bevételek'!S67</f>
        <v>-66288925</v>
      </c>
      <c r="T28" s="840">
        <f t="shared" si="9"/>
        <v>-0.65828128103277062</v>
      </c>
      <c r="U28" s="494"/>
      <c r="V28" s="494"/>
    </row>
    <row r="29" spans="1:22" x14ac:dyDescent="0.25">
      <c r="A29" s="841" t="s">
        <v>321</v>
      </c>
      <c r="B29" s="593" t="s">
        <v>322</v>
      </c>
      <c r="C29" s="824">
        <f>+' 2. Önk. Bevételek'!C72</f>
        <v>0</v>
      </c>
      <c r="D29" s="647">
        <f>+' 2. Önk. Bevételek'!D72</f>
        <v>240000</v>
      </c>
      <c r="E29" s="647">
        <f>+' 2. Önk. Bevételek'!E72</f>
        <v>240000</v>
      </c>
      <c r="F29" s="837">
        <f>+' 2. Önk. Bevételek'!F72</f>
        <v>240000</v>
      </c>
      <c r="G29" s="648"/>
      <c r="H29" s="824">
        <f>+' 2. Önk. Bevételek'!H72</f>
        <v>40000</v>
      </c>
      <c r="I29" s="647">
        <f>+' 2. Önk. Bevételek'!I72</f>
        <v>60000</v>
      </c>
      <c r="J29" s="775">
        <f>+' 2. Önk. Bevételek'!J72</f>
        <v>60000</v>
      </c>
      <c r="K29" s="648"/>
      <c r="L29" s="838">
        <f t="shared" si="0"/>
        <v>0.16666666666666666</v>
      </c>
      <c r="M29" s="838">
        <f t="shared" si="1"/>
        <v>0.25</v>
      </c>
      <c r="N29" s="839">
        <f t="shared" si="2"/>
        <v>0.25</v>
      </c>
      <c r="O29" s="648"/>
      <c r="P29" s="824">
        <f>+' 2. Önk. Bevételek'!P72</f>
        <v>240000</v>
      </c>
      <c r="Q29" s="647">
        <f>+' 2. Önk. Bevételek'!Q72</f>
        <v>0</v>
      </c>
      <c r="R29" s="647">
        <f>+' 2. Önk. Bevételek'!R72</f>
        <v>0</v>
      </c>
      <c r="S29" s="647">
        <f>+' 2. Önk. Bevételek'!S72</f>
        <v>240000</v>
      </c>
      <c r="T29" s="840">
        <f t="shared" ref="T29:T33" si="10">IF(C29=0,0,S29/C29)</f>
        <v>0</v>
      </c>
      <c r="U29" s="494"/>
      <c r="V29" s="494"/>
    </row>
    <row r="30" spans="1:22" x14ac:dyDescent="0.25">
      <c r="A30" s="841" t="s">
        <v>328</v>
      </c>
      <c r="B30" s="593" t="s">
        <v>329</v>
      </c>
      <c r="C30" s="824">
        <f>+' 2. Önk. Bevételek'!C76</f>
        <v>0</v>
      </c>
      <c r="D30" s="647">
        <f>+' 2. Önk. Bevételek'!D76</f>
        <v>373750</v>
      </c>
      <c r="E30" s="647">
        <f>+' 2. Önk. Bevételek'!E76</f>
        <v>373750</v>
      </c>
      <c r="F30" s="837">
        <f>+' 2. Önk. Bevételek'!F76</f>
        <v>623750</v>
      </c>
      <c r="G30" s="648"/>
      <c r="H30" s="824">
        <f>+' 2. Önk. Bevételek'!H76</f>
        <v>373750</v>
      </c>
      <c r="I30" s="647">
        <f>+' 2. Önk. Bevételek'!I76</f>
        <v>593750</v>
      </c>
      <c r="J30" s="775">
        <f>+' 2. Önk. Bevételek'!J76</f>
        <v>643750</v>
      </c>
      <c r="K30" s="648"/>
      <c r="L30" s="838">
        <f t="shared" si="0"/>
        <v>1</v>
      </c>
      <c r="M30" s="838">
        <f t="shared" si="1"/>
        <v>1.5886287625418061</v>
      </c>
      <c r="N30" s="839">
        <f t="shared" si="2"/>
        <v>1.0320641282565131</v>
      </c>
      <c r="O30" s="648"/>
      <c r="P30" s="824">
        <f>+' 2. Önk. Bevételek'!P76</f>
        <v>373750</v>
      </c>
      <c r="Q30" s="647">
        <f>+' 2. Önk. Bevételek'!Q76</f>
        <v>0</v>
      </c>
      <c r="R30" s="647">
        <f>+' 2. Önk. Bevételek'!R76</f>
        <v>250000</v>
      </c>
      <c r="S30" s="647">
        <f>+' 2. Önk. Bevételek'!S76</f>
        <v>623750</v>
      </c>
      <c r="T30" s="840">
        <f t="shared" si="10"/>
        <v>0</v>
      </c>
      <c r="U30" s="494"/>
      <c r="V30" s="494"/>
    </row>
    <row r="31" spans="1:22" x14ac:dyDescent="0.25">
      <c r="A31" s="841" t="s">
        <v>462</v>
      </c>
      <c r="B31" s="655"/>
      <c r="C31" s="852">
        <f>+' 2. Önk. Bevételek'!C80-C32</f>
        <v>462274594</v>
      </c>
      <c r="D31" s="663">
        <f>+' 2. Önk. Bevételek'!D80-D32</f>
        <v>462274594</v>
      </c>
      <c r="E31" s="663">
        <f>+' 2. Önk. Bevételek'!E80-E32</f>
        <v>462274594</v>
      </c>
      <c r="F31" s="853">
        <f>+' 2. Önk. Bevételek'!F80-F32</f>
        <v>462274594</v>
      </c>
      <c r="G31" s="854"/>
      <c r="H31" s="852">
        <f>+' 2. Önk. Bevételek'!H80-H32</f>
        <v>444274594</v>
      </c>
      <c r="I31" s="663">
        <f>+' 2. Önk. Bevételek'!I80-I32</f>
        <v>444274594</v>
      </c>
      <c r="J31" s="855">
        <f>+' 2. Önk. Bevételek'!J80-J32</f>
        <v>462193342</v>
      </c>
      <c r="K31" s="648"/>
      <c r="L31" s="838">
        <f t="shared" si="0"/>
        <v>0.96106210413977455</v>
      </c>
      <c r="M31" s="838">
        <f t="shared" si="1"/>
        <v>0.96106210413977455</v>
      </c>
      <c r="N31" s="839">
        <f t="shared" si="2"/>
        <v>0.99982423433808698</v>
      </c>
      <c r="O31" s="854"/>
      <c r="P31" s="852">
        <f>+' 2. Önk. Bevételek'!P80-P32</f>
        <v>0</v>
      </c>
      <c r="Q31" s="663">
        <f>+' 2. Önk. Bevételek'!Q80-Q32</f>
        <v>0</v>
      </c>
      <c r="R31" s="663">
        <f>+' 2. Önk. Bevételek'!R80-R32</f>
        <v>0</v>
      </c>
      <c r="S31" s="663">
        <f>+' 2. Önk. Bevételek'!S80-S32</f>
        <v>0</v>
      </c>
      <c r="T31" s="840">
        <f t="shared" si="10"/>
        <v>0</v>
      </c>
      <c r="U31" s="494"/>
      <c r="V31" s="494"/>
    </row>
    <row r="32" spans="1:22" x14ac:dyDescent="0.25">
      <c r="A32" s="836" t="s">
        <v>456</v>
      </c>
      <c r="B32" s="655"/>
      <c r="C32" s="852">
        <f>+' 2. Önk. Bevételek'!C87</f>
        <v>0</v>
      </c>
      <c r="D32" s="663">
        <f>+' 2. Önk. Bevételek'!D87</f>
        <v>0</v>
      </c>
      <c r="E32" s="663">
        <f>+' 2. Önk. Bevételek'!E87</f>
        <v>0</v>
      </c>
      <c r="F32" s="853">
        <f>+' 2. Önk. Bevételek'!F87</f>
        <v>0</v>
      </c>
      <c r="G32" s="854"/>
      <c r="H32" s="852">
        <f>+' 2. Önk. Bevételek'!H87</f>
        <v>0</v>
      </c>
      <c r="I32" s="663">
        <f>+' 2. Önk. Bevételek'!I87</f>
        <v>0</v>
      </c>
      <c r="J32" s="855">
        <f>+' 2. Önk. Bevételek'!J87</f>
        <v>0</v>
      </c>
      <c r="K32" s="648"/>
      <c r="L32" s="838">
        <f t="shared" si="0"/>
        <v>0</v>
      </c>
      <c r="M32" s="838">
        <f t="shared" si="1"/>
        <v>0</v>
      </c>
      <c r="N32" s="839">
        <f t="shared" si="2"/>
        <v>0</v>
      </c>
      <c r="O32" s="854"/>
      <c r="P32" s="852">
        <f>+' 2. Önk. Bevételek'!P87</f>
        <v>0</v>
      </c>
      <c r="Q32" s="663">
        <f>+' 2. Önk. Bevételek'!Q87</f>
        <v>0</v>
      </c>
      <c r="R32" s="663">
        <f>+' 2. Önk. Bevételek'!R87</f>
        <v>0</v>
      </c>
      <c r="S32" s="663">
        <f>+' 2. Önk. Bevételek'!S87</f>
        <v>0</v>
      </c>
      <c r="T32" s="840">
        <f t="shared" si="10"/>
        <v>0</v>
      </c>
      <c r="U32" s="494"/>
      <c r="V32" s="494"/>
    </row>
    <row r="33" spans="1:22" x14ac:dyDescent="0.25">
      <c r="A33" s="856"/>
      <c r="B33" s="843" t="s">
        <v>379</v>
      </c>
      <c r="C33" s="844">
        <f>SUM(C24:C32)</f>
        <v>1700938440</v>
      </c>
      <c r="D33" s="845">
        <f t="shared" ref="D33:J33" si="11">SUM(D24:D32)</f>
        <v>1701880040</v>
      </c>
      <c r="E33" s="845">
        <f t="shared" si="11"/>
        <v>1751880040</v>
      </c>
      <c r="F33" s="846">
        <f t="shared" si="11"/>
        <v>1748653511</v>
      </c>
      <c r="G33" s="845"/>
      <c r="H33" s="844">
        <f t="shared" si="11"/>
        <v>1151048091</v>
      </c>
      <c r="I33" s="845">
        <f t="shared" si="11"/>
        <v>1414490178</v>
      </c>
      <c r="J33" s="847">
        <f t="shared" si="11"/>
        <v>1642230047</v>
      </c>
      <c r="K33" s="857"/>
      <c r="L33" s="858">
        <f t="shared" si="0"/>
        <v>0.67633914491411506</v>
      </c>
      <c r="M33" s="858">
        <f t="shared" si="1"/>
        <v>0.80741269133929972</v>
      </c>
      <c r="N33" s="859">
        <f t="shared" si="2"/>
        <v>0.93913976477870698</v>
      </c>
      <c r="O33" s="857"/>
      <c r="P33" s="844">
        <f t="shared" ref="P33" si="12">SUM(P24:P32)</f>
        <v>941600</v>
      </c>
      <c r="Q33" s="845">
        <f t="shared" ref="Q33" si="13">SUM(Q24:Q32)</f>
        <v>50000000</v>
      </c>
      <c r="R33" s="845">
        <f t="shared" ref="R33" si="14">SUM(R24:R32)</f>
        <v>-3226529</v>
      </c>
      <c r="S33" s="847">
        <f t="shared" ref="S33" si="15">SUM(S24:S32)</f>
        <v>47715071</v>
      </c>
      <c r="T33" s="851">
        <f t="shared" si="10"/>
        <v>2.8052203347229899E-2</v>
      </c>
      <c r="U33" s="494"/>
      <c r="V33" s="494"/>
    </row>
    <row r="34" spans="1:22" x14ac:dyDescent="0.25">
      <c r="A34" s="860"/>
      <c r="B34" s="647"/>
      <c r="C34" s="824"/>
      <c r="D34" s="647"/>
      <c r="E34" s="647"/>
      <c r="F34" s="837"/>
      <c r="G34" s="647"/>
      <c r="H34" s="824"/>
      <c r="I34" s="647"/>
      <c r="J34" s="775"/>
      <c r="K34" s="647"/>
      <c r="L34" s="838"/>
      <c r="M34" s="838"/>
      <c r="N34" s="839"/>
      <c r="O34" s="647"/>
      <c r="P34" s="824"/>
      <c r="Q34" s="647"/>
      <c r="R34" s="647"/>
      <c r="S34" s="647"/>
      <c r="T34" s="861"/>
      <c r="U34" s="494"/>
      <c r="V34" s="494"/>
    </row>
    <row r="35" spans="1:22" ht="13.8" thickBot="1" x14ac:dyDescent="0.3">
      <c r="A35" s="862"/>
      <c r="B35" s="863" t="s">
        <v>463</v>
      </c>
      <c r="C35" s="864">
        <f>+C33-C22</f>
        <v>-0.25</v>
      </c>
      <c r="D35" s="865">
        <f>+D33-D22</f>
        <v>0</v>
      </c>
      <c r="E35" s="865">
        <f>+E33-E22</f>
        <v>0</v>
      </c>
      <c r="F35" s="866">
        <f>+F33-F22</f>
        <v>0</v>
      </c>
      <c r="G35" s="865"/>
      <c r="H35" s="864">
        <f>+H33-H22</f>
        <v>479272366</v>
      </c>
      <c r="I35" s="865">
        <f>+I33-I22</f>
        <v>496257211</v>
      </c>
      <c r="J35" s="867">
        <f>+J33-J22</f>
        <v>410956549</v>
      </c>
      <c r="K35" s="868"/>
      <c r="L35" s="869">
        <f t="shared" si="0"/>
        <v>0</v>
      </c>
      <c r="M35" s="869">
        <f t="shared" si="1"/>
        <v>0</v>
      </c>
      <c r="N35" s="870">
        <f t="shared" si="2"/>
        <v>0</v>
      </c>
      <c r="O35" s="868"/>
      <c r="P35" s="864">
        <f>+P33-P22</f>
        <v>0.25</v>
      </c>
      <c r="Q35" s="865">
        <f>+Q33-Q22</f>
        <v>0</v>
      </c>
      <c r="R35" s="865">
        <f>+R33-R22</f>
        <v>0</v>
      </c>
      <c r="S35" s="867">
        <f>+S33-S22</f>
        <v>0.25</v>
      </c>
      <c r="T35" s="871"/>
      <c r="U35" s="494"/>
      <c r="V35" s="494"/>
    </row>
    <row r="36" spans="1:22" x14ac:dyDescent="0.25">
      <c r="A36" s="593"/>
      <c r="B36" s="593"/>
      <c r="C36" s="824"/>
      <c r="D36" s="648"/>
      <c r="E36" s="648"/>
      <c r="F36" s="823"/>
      <c r="G36" s="648"/>
      <c r="H36" s="824"/>
      <c r="I36" s="647"/>
      <c r="J36" s="797"/>
      <c r="K36" s="648"/>
      <c r="L36" s="838"/>
      <c r="M36" s="838"/>
      <c r="N36" s="839"/>
      <c r="O36" s="648"/>
      <c r="P36" s="824"/>
      <c r="Q36" s="647"/>
      <c r="R36" s="647"/>
      <c r="S36" s="647"/>
      <c r="T36" s="861"/>
      <c r="U36" s="494"/>
      <c r="V36" s="494"/>
    </row>
    <row r="37" spans="1:22" ht="13.8" thickBot="1" x14ac:dyDescent="0.3">
      <c r="A37" s="593"/>
      <c r="B37" s="593"/>
      <c r="C37" s="824"/>
      <c r="D37" s="648"/>
      <c r="E37" s="648"/>
      <c r="F37" s="823"/>
      <c r="G37" s="648"/>
      <c r="H37" s="824"/>
      <c r="I37" s="647"/>
      <c r="J37" s="797"/>
      <c r="K37" s="648"/>
      <c r="L37" s="838"/>
      <c r="M37" s="838"/>
      <c r="N37" s="839"/>
      <c r="O37" s="648"/>
      <c r="P37" s="824"/>
      <c r="Q37" s="647"/>
      <c r="R37" s="647"/>
      <c r="S37" s="647"/>
      <c r="T37" s="861"/>
      <c r="U37" s="494"/>
      <c r="V37" s="494"/>
    </row>
    <row r="38" spans="1:22" ht="18" thickBot="1" x14ac:dyDescent="0.3">
      <c r="A38" s="872" t="s">
        <v>477</v>
      </c>
      <c r="B38" s="873"/>
      <c r="C38" s="593"/>
      <c r="D38" s="648"/>
      <c r="E38" s="648"/>
      <c r="F38" s="823"/>
      <c r="G38" s="648"/>
      <c r="H38" s="824"/>
      <c r="I38" s="647"/>
      <c r="J38" s="797"/>
      <c r="K38" s="648"/>
      <c r="L38" s="838"/>
      <c r="M38" s="838"/>
      <c r="N38" s="839"/>
      <c r="O38" s="648"/>
      <c r="P38" s="824"/>
      <c r="Q38" s="647"/>
      <c r="R38" s="647"/>
      <c r="S38" s="647"/>
      <c r="T38" s="861"/>
      <c r="U38" s="494"/>
      <c r="V38" s="494"/>
    </row>
    <row r="39" spans="1:22" x14ac:dyDescent="0.25">
      <c r="A39" s="827"/>
      <c r="B39" s="828"/>
      <c r="C39" s="829"/>
      <c r="D39" s="830"/>
      <c r="E39" s="830"/>
      <c r="F39" s="831"/>
      <c r="G39" s="830"/>
      <c r="H39" s="829"/>
      <c r="I39" s="832"/>
      <c r="J39" s="833"/>
      <c r="K39" s="830"/>
      <c r="L39" s="874"/>
      <c r="M39" s="874"/>
      <c r="N39" s="875"/>
      <c r="O39" s="830"/>
      <c r="P39" s="829"/>
      <c r="Q39" s="832"/>
      <c r="R39" s="832"/>
      <c r="S39" s="832"/>
      <c r="T39" s="876"/>
      <c r="U39" s="494"/>
      <c r="V39" s="494"/>
    </row>
    <row r="40" spans="1:22" x14ac:dyDescent="0.25">
      <c r="A40" s="836" t="s">
        <v>0</v>
      </c>
      <c r="B40" s="655" t="str">
        <f t="shared" ref="B40:B48" si="16">+B13</f>
        <v>Személyi juttatások</v>
      </c>
      <c r="C40" s="824">
        <f>+'4. Dr Gáspár HSZK'!C13</f>
        <v>21961962</v>
      </c>
      <c r="D40" s="647">
        <f>+'4. Dr Gáspár HSZK'!D13</f>
        <v>21961962</v>
      </c>
      <c r="E40" s="647">
        <f>+'4. Dr Gáspár HSZK'!E13</f>
        <v>21961962</v>
      </c>
      <c r="F40" s="837">
        <f>+'4. Dr Gáspár HSZK'!F13</f>
        <v>22536962</v>
      </c>
      <c r="G40" s="647"/>
      <c r="H40" s="824">
        <f>+'4. Dr Gáspár HSZK'!H13</f>
        <v>10918777</v>
      </c>
      <c r="I40" s="647">
        <f>+'4. Dr Gáspár HSZK'!I13</f>
        <v>16567111</v>
      </c>
      <c r="J40" s="775">
        <f>+'4. Dr Gáspár HSZK'!J13</f>
        <v>22533469</v>
      </c>
      <c r="K40" s="647"/>
      <c r="L40" s="838">
        <f t="shared" si="0"/>
        <v>0.49716764831848814</v>
      </c>
      <c r="M40" s="838">
        <f t="shared" si="1"/>
        <v>0.75435477941360618</v>
      </c>
      <c r="N40" s="839">
        <f t="shared" si="2"/>
        <v>0.9998450101659665</v>
      </c>
      <c r="O40" s="647"/>
      <c r="P40" s="824">
        <f>+'4. Dr Gáspár HSZK'!P13</f>
        <v>0</v>
      </c>
      <c r="Q40" s="647">
        <f>+'4. Dr Gáspár HSZK'!Q13</f>
        <v>0</v>
      </c>
      <c r="R40" s="647">
        <f>+'4. Dr Gáspár HSZK'!R13</f>
        <v>575000</v>
      </c>
      <c r="S40" s="647">
        <f>+'4. Dr Gáspár HSZK'!S13</f>
        <v>575000</v>
      </c>
      <c r="T40" s="840">
        <f t="shared" ref="T40:T49" si="17">IF(C40=0,0,S40/C40)</f>
        <v>2.6181631677534092E-2</v>
      </c>
      <c r="U40" s="494"/>
      <c r="V40" s="494"/>
    </row>
    <row r="41" spans="1:22" x14ac:dyDescent="0.25">
      <c r="A41" s="836" t="s">
        <v>27</v>
      </c>
      <c r="B41" s="655" t="str">
        <f t="shared" si="16"/>
        <v>Munkaadót terhelő járulékok és szociális hozzájárulás</v>
      </c>
      <c r="C41" s="824">
        <f>+'4. Dr Gáspár HSZK'!C29</f>
        <v>4340000</v>
      </c>
      <c r="D41" s="647">
        <f>+'4. Dr Gáspár HSZK'!D29</f>
        <v>4340000</v>
      </c>
      <c r="E41" s="647">
        <f>+'4. Dr Gáspár HSZK'!E29</f>
        <v>4340000</v>
      </c>
      <c r="F41" s="837">
        <f>+'4. Dr Gáspár HSZK'!F29</f>
        <v>4620000</v>
      </c>
      <c r="G41" s="647"/>
      <c r="H41" s="824">
        <f>+'4. Dr Gáspár HSZK'!H29</f>
        <v>2416631</v>
      </c>
      <c r="I41" s="647">
        <f>+'4. Dr Gáspár HSZK'!I29</f>
        <v>3566100</v>
      </c>
      <c r="J41" s="775">
        <f>+'4. Dr Gáspár HSZK'!J29</f>
        <v>4616322</v>
      </c>
      <c r="K41" s="647"/>
      <c r="L41" s="838">
        <f t="shared" si="0"/>
        <v>0.5568274193548387</v>
      </c>
      <c r="M41" s="838">
        <f t="shared" si="1"/>
        <v>0.82168202764976961</v>
      </c>
      <c r="N41" s="839">
        <f t="shared" si="2"/>
        <v>0.99920389610389615</v>
      </c>
      <c r="O41" s="647"/>
      <c r="P41" s="824">
        <f>+'4. Dr Gáspár HSZK'!P29</f>
        <v>0</v>
      </c>
      <c r="Q41" s="647">
        <f>+'4. Dr Gáspár HSZK'!Q29</f>
        <v>0</v>
      </c>
      <c r="R41" s="647">
        <f>+'4. Dr Gáspár HSZK'!R29</f>
        <v>280000</v>
      </c>
      <c r="S41" s="647">
        <f>+'4. Dr Gáspár HSZK'!S29</f>
        <v>280000</v>
      </c>
      <c r="T41" s="840">
        <f t="shared" si="17"/>
        <v>6.4516129032258063E-2</v>
      </c>
      <c r="U41" s="494"/>
      <c r="V41" s="494"/>
    </row>
    <row r="42" spans="1:22" x14ac:dyDescent="0.25">
      <c r="A42" s="836" t="s">
        <v>30</v>
      </c>
      <c r="B42" s="655" t="str">
        <f t="shared" si="16"/>
        <v>Dologi kiadások</v>
      </c>
      <c r="C42" s="824">
        <f>+'4. Dr Gáspár HSZK'!C32</f>
        <v>10796000</v>
      </c>
      <c r="D42" s="647">
        <f>+'4. Dr Gáspár HSZK'!D32</f>
        <v>10796000</v>
      </c>
      <c r="E42" s="647">
        <f>+'4. Dr Gáspár HSZK'!E32</f>
        <v>10756000</v>
      </c>
      <c r="F42" s="837">
        <f>+'4. Dr Gáspár HSZK'!F32</f>
        <v>9901000</v>
      </c>
      <c r="G42" s="647"/>
      <c r="H42" s="852">
        <f>+'4. Dr Gáspár HSZK'!H32</f>
        <v>5083396</v>
      </c>
      <c r="I42" s="663">
        <f>+'4. Dr Gáspár HSZK'!I32</f>
        <v>6329879</v>
      </c>
      <c r="J42" s="775">
        <f>+'4. Dr Gáspár HSZK'!J32</f>
        <v>8572565</v>
      </c>
      <c r="K42" s="647"/>
      <c r="L42" s="838">
        <f t="shared" si="0"/>
        <v>0.47085920711374585</v>
      </c>
      <c r="M42" s="838">
        <f t="shared" si="1"/>
        <v>0.58849748977314986</v>
      </c>
      <c r="N42" s="839">
        <f t="shared" si="2"/>
        <v>0.86582819917180087</v>
      </c>
      <c r="O42" s="647"/>
      <c r="P42" s="824">
        <f>+'4. Dr Gáspár HSZK'!P32</f>
        <v>0</v>
      </c>
      <c r="Q42" s="647">
        <f>+'4. Dr Gáspár HSZK'!Q32</f>
        <v>-40000</v>
      </c>
      <c r="R42" s="647">
        <f>+'4. Dr Gáspár HSZK'!R32</f>
        <v>-855000</v>
      </c>
      <c r="S42" s="647">
        <f>+'4. Dr Gáspár HSZK'!S32</f>
        <v>-895000</v>
      </c>
      <c r="T42" s="840">
        <f t="shared" si="17"/>
        <v>-8.2901074472026673E-2</v>
      </c>
      <c r="U42" s="494"/>
      <c r="V42" s="494"/>
    </row>
    <row r="43" spans="1:22" x14ac:dyDescent="0.25">
      <c r="A43" s="836" t="s">
        <v>112</v>
      </c>
      <c r="B43" s="655" t="str">
        <f t="shared" si="16"/>
        <v>Elláttotak pénzbeli juttatásai</v>
      </c>
      <c r="C43" s="824"/>
      <c r="D43" s="647"/>
      <c r="E43" s="647"/>
      <c r="F43" s="837"/>
      <c r="G43" s="647"/>
      <c r="H43" s="824"/>
      <c r="I43" s="647"/>
      <c r="J43" s="775"/>
      <c r="K43" s="647"/>
      <c r="L43" s="838">
        <f t="shared" si="0"/>
        <v>0</v>
      </c>
      <c r="M43" s="838">
        <f t="shared" si="1"/>
        <v>0</v>
      </c>
      <c r="N43" s="839">
        <f t="shared" si="2"/>
        <v>0</v>
      </c>
      <c r="O43" s="647"/>
      <c r="P43" s="824"/>
      <c r="Q43" s="647"/>
      <c r="R43" s="647"/>
      <c r="S43" s="647"/>
      <c r="T43" s="840">
        <f t="shared" si="17"/>
        <v>0</v>
      </c>
      <c r="U43" s="494"/>
      <c r="V43" s="494"/>
    </row>
    <row r="44" spans="1:22" x14ac:dyDescent="0.25">
      <c r="A44" s="841" t="s">
        <v>378</v>
      </c>
      <c r="B44" s="655" t="str">
        <f t="shared" si="16"/>
        <v>Egyéb működési célú kiadások</v>
      </c>
      <c r="C44" s="824"/>
      <c r="D44" s="647"/>
      <c r="E44" s="647"/>
      <c r="F44" s="837"/>
      <c r="G44" s="647"/>
      <c r="H44" s="824"/>
      <c r="I44" s="647"/>
      <c r="J44" s="775"/>
      <c r="K44" s="647"/>
      <c r="L44" s="838">
        <f t="shared" si="0"/>
        <v>0</v>
      </c>
      <c r="M44" s="838">
        <f t="shared" si="1"/>
        <v>0</v>
      </c>
      <c r="N44" s="839">
        <f t="shared" si="2"/>
        <v>0</v>
      </c>
      <c r="O44" s="647"/>
      <c r="P44" s="824"/>
      <c r="Q44" s="647"/>
      <c r="R44" s="647"/>
      <c r="S44" s="647"/>
      <c r="T44" s="840">
        <f t="shared" si="17"/>
        <v>0</v>
      </c>
      <c r="U44" s="494"/>
      <c r="V44" s="494"/>
    </row>
    <row r="45" spans="1:22" x14ac:dyDescent="0.25">
      <c r="A45" s="836" t="s">
        <v>159</v>
      </c>
      <c r="B45" s="655" t="str">
        <f t="shared" si="16"/>
        <v>Beruházások</v>
      </c>
      <c r="C45" s="824">
        <f>+'4. Dr Gáspár HSZK'!C83</f>
        <v>150000</v>
      </c>
      <c r="D45" s="647">
        <f>+'4. Dr Gáspár HSZK'!D83</f>
        <v>150000</v>
      </c>
      <c r="E45" s="647">
        <f>+'4. Dr Gáspár HSZK'!E83</f>
        <v>190000</v>
      </c>
      <c r="F45" s="837">
        <f>+'4. Dr Gáspár HSZK'!F83</f>
        <v>190000</v>
      </c>
      <c r="G45" s="647"/>
      <c r="H45" s="824">
        <f>+'4. Dr Gáspár HSZK'!H83</f>
        <v>94990</v>
      </c>
      <c r="I45" s="647">
        <f>+'4. Dr Gáspár HSZK'!I83</f>
        <v>175915</v>
      </c>
      <c r="J45" s="775">
        <f>+'4. Dr Gáspár HSZK'!J83</f>
        <v>175915</v>
      </c>
      <c r="K45" s="647">
        <f>+'4. Dr Gáspár HSZK'!K83</f>
        <v>0</v>
      </c>
      <c r="L45" s="838">
        <f t="shared" si="0"/>
        <v>0.63326666666666664</v>
      </c>
      <c r="M45" s="838">
        <f t="shared" si="1"/>
        <v>0.92586842105263156</v>
      </c>
      <c r="N45" s="839">
        <f t="shared" si="2"/>
        <v>0.92586842105263156</v>
      </c>
      <c r="O45" s="647"/>
      <c r="P45" s="824">
        <f>+'4. Dr Gáspár HSZK'!P83</f>
        <v>0</v>
      </c>
      <c r="Q45" s="647">
        <f>+'4. Dr Gáspár HSZK'!Q83</f>
        <v>40000</v>
      </c>
      <c r="R45" s="647">
        <f>+'4. Dr Gáspár HSZK'!R83</f>
        <v>0</v>
      </c>
      <c r="S45" s="647">
        <f>+'4. Dr Gáspár HSZK'!S83</f>
        <v>40000</v>
      </c>
      <c r="T45" s="840">
        <f t="shared" si="17"/>
        <v>0.26666666666666666</v>
      </c>
      <c r="U45" s="494"/>
      <c r="V45" s="494"/>
    </row>
    <row r="46" spans="1:22" x14ac:dyDescent="0.25">
      <c r="A46" s="836" t="s">
        <v>174</v>
      </c>
      <c r="B46" s="655" t="str">
        <f t="shared" si="16"/>
        <v>Felújítások</v>
      </c>
      <c r="C46" s="824">
        <f>+'4. Dr Gáspár HSZK'!C86</f>
        <v>0</v>
      </c>
      <c r="D46" s="647">
        <f>+'4. Dr Gáspár HSZK'!D86</f>
        <v>0</v>
      </c>
      <c r="E46" s="647">
        <f>+'4. Dr Gáspár HSZK'!E86</f>
        <v>0</v>
      </c>
      <c r="F46" s="837">
        <f>+'4. Dr Gáspár HSZK'!F86</f>
        <v>0</v>
      </c>
      <c r="G46" s="647"/>
      <c r="H46" s="824">
        <f>+'4. Dr Gáspár HSZK'!H86</f>
        <v>0</v>
      </c>
      <c r="I46" s="647">
        <f>+'4. Dr Gáspár HSZK'!I86</f>
        <v>0</v>
      </c>
      <c r="J46" s="775">
        <f>+'4. Dr Gáspár HSZK'!J86</f>
        <v>0</v>
      </c>
      <c r="K46" s="647">
        <f>+'4. Dr Gáspár HSZK'!K86</f>
        <v>0</v>
      </c>
      <c r="L46" s="838">
        <f t="shared" si="0"/>
        <v>0</v>
      </c>
      <c r="M46" s="838">
        <f t="shared" si="1"/>
        <v>0</v>
      </c>
      <c r="N46" s="839">
        <f t="shared" si="2"/>
        <v>0</v>
      </c>
      <c r="O46" s="647"/>
      <c r="P46" s="824">
        <f>+'4. Dr Gáspár HSZK'!P86</f>
        <v>0</v>
      </c>
      <c r="Q46" s="647">
        <f>+'4. Dr Gáspár HSZK'!Q86</f>
        <v>0</v>
      </c>
      <c r="R46" s="647">
        <f>+'4. Dr Gáspár HSZK'!R86</f>
        <v>0</v>
      </c>
      <c r="S46" s="647">
        <f>+'4. Dr Gáspár HSZK'!S86</f>
        <v>0</v>
      </c>
      <c r="T46" s="840">
        <f t="shared" si="17"/>
        <v>0</v>
      </c>
      <c r="U46" s="494"/>
      <c r="V46" s="494"/>
    </row>
    <row r="47" spans="1:22" x14ac:dyDescent="0.25">
      <c r="A47" s="836" t="s">
        <v>184</v>
      </c>
      <c r="B47" s="655" t="str">
        <f t="shared" si="16"/>
        <v>Szolgáltatások kiadásai</v>
      </c>
      <c r="C47" s="824"/>
      <c r="D47" s="647"/>
      <c r="E47" s="647"/>
      <c r="F47" s="837"/>
      <c r="G47" s="647"/>
      <c r="H47" s="824"/>
      <c r="I47" s="647"/>
      <c r="J47" s="775"/>
      <c r="K47" s="647"/>
      <c r="L47" s="838">
        <f t="shared" si="0"/>
        <v>0</v>
      </c>
      <c r="M47" s="838">
        <f t="shared" si="1"/>
        <v>0</v>
      </c>
      <c r="N47" s="839">
        <f t="shared" si="2"/>
        <v>0</v>
      </c>
      <c r="O47" s="647"/>
      <c r="P47" s="824"/>
      <c r="Q47" s="647"/>
      <c r="R47" s="647"/>
      <c r="S47" s="647"/>
      <c r="T47" s="840">
        <f t="shared" si="17"/>
        <v>0</v>
      </c>
      <c r="U47" s="494"/>
      <c r="V47" s="494"/>
    </row>
    <row r="48" spans="1:22" x14ac:dyDescent="0.25">
      <c r="A48" s="836" t="s">
        <v>202</v>
      </c>
      <c r="B48" s="655" t="str">
        <f t="shared" si="16"/>
        <v>Finanszírozási kiadások</v>
      </c>
      <c r="C48" s="860"/>
      <c r="D48" s="653"/>
      <c r="E48" s="653"/>
      <c r="F48" s="877"/>
      <c r="G48" s="653"/>
      <c r="H48" s="860"/>
      <c r="I48" s="653"/>
      <c r="J48" s="797"/>
      <c r="K48" s="653"/>
      <c r="L48" s="838">
        <f t="shared" si="0"/>
        <v>0</v>
      </c>
      <c r="M48" s="838">
        <f t="shared" si="1"/>
        <v>0</v>
      </c>
      <c r="N48" s="839">
        <f t="shared" si="2"/>
        <v>0</v>
      </c>
      <c r="O48" s="653"/>
      <c r="P48" s="860"/>
      <c r="Q48" s="593"/>
      <c r="R48" s="593"/>
      <c r="S48" s="593"/>
      <c r="T48" s="840">
        <f t="shared" si="17"/>
        <v>0</v>
      </c>
      <c r="U48" s="494"/>
      <c r="V48" s="494"/>
    </row>
    <row r="49" spans="1:22" x14ac:dyDescent="0.25">
      <c r="A49" s="842"/>
      <c r="B49" s="843" t="s">
        <v>380</v>
      </c>
      <c r="C49" s="844">
        <f>SUM(C40:C48)</f>
        <v>37247962</v>
      </c>
      <c r="D49" s="845">
        <f t="shared" ref="D49" si="18">SUM(D40:D48)</f>
        <v>37247962</v>
      </c>
      <c r="E49" s="845">
        <f t="shared" ref="E49" si="19">SUM(E40:E48)</f>
        <v>37247962</v>
      </c>
      <c r="F49" s="846">
        <f t="shared" ref="F49" si="20">SUM(F40:F48)</f>
        <v>37247962</v>
      </c>
      <c r="G49" s="845"/>
      <c r="H49" s="844">
        <f t="shared" ref="H49" si="21">SUM(H40:H48)</f>
        <v>18513794</v>
      </c>
      <c r="I49" s="845">
        <f t="shared" ref="I49" si="22">SUM(I40:I48)</f>
        <v>26639005</v>
      </c>
      <c r="J49" s="847">
        <f t="shared" ref="J49" si="23">SUM(J40:J48)</f>
        <v>35898271</v>
      </c>
      <c r="K49" s="848"/>
      <c r="L49" s="849">
        <f t="shared" si="0"/>
        <v>0.4970417978841366</v>
      </c>
      <c r="M49" s="849">
        <f t="shared" si="1"/>
        <v>0.71518020234234558</v>
      </c>
      <c r="N49" s="850">
        <f t="shared" si="2"/>
        <v>0.96376470207953924</v>
      </c>
      <c r="O49" s="848"/>
      <c r="P49" s="844">
        <f t="shared" ref="P49" si="24">SUM(P40:P48)</f>
        <v>0</v>
      </c>
      <c r="Q49" s="845">
        <f t="shared" ref="Q49" si="25">SUM(Q40:Q48)</f>
        <v>0</v>
      </c>
      <c r="R49" s="845">
        <f t="shared" ref="R49" si="26">SUM(R40:R48)</f>
        <v>0</v>
      </c>
      <c r="S49" s="847">
        <f t="shared" ref="S49" si="27">SUM(S40:S48)</f>
        <v>0</v>
      </c>
      <c r="T49" s="851">
        <f t="shared" si="17"/>
        <v>0</v>
      </c>
      <c r="U49" s="494"/>
      <c r="V49" s="494"/>
    </row>
    <row r="50" spans="1:22" x14ac:dyDescent="0.25">
      <c r="A50" s="860"/>
      <c r="B50" s="593"/>
      <c r="C50" s="824"/>
      <c r="D50" s="648"/>
      <c r="E50" s="648"/>
      <c r="F50" s="823"/>
      <c r="G50" s="648"/>
      <c r="H50" s="824"/>
      <c r="I50" s="647"/>
      <c r="J50" s="797"/>
      <c r="K50" s="648"/>
      <c r="L50" s="838"/>
      <c r="M50" s="838"/>
      <c r="N50" s="839"/>
      <c r="O50" s="648"/>
      <c r="P50" s="824"/>
      <c r="Q50" s="647"/>
      <c r="R50" s="647"/>
      <c r="S50" s="647"/>
      <c r="T50" s="840"/>
      <c r="U50" s="494"/>
      <c r="V50" s="494"/>
    </row>
    <row r="51" spans="1:22" x14ac:dyDescent="0.25">
      <c r="A51" s="836" t="str">
        <f>+A24</f>
        <v>B1</v>
      </c>
      <c r="B51" s="655" t="s">
        <v>454</v>
      </c>
      <c r="C51" s="824">
        <f>+'4. Dr Gáspár HSZK'!C93</f>
        <v>0</v>
      </c>
      <c r="D51" s="647">
        <f>+'4. Dr Gáspár HSZK'!D93</f>
        <v>0</v>
      </c>
      <c r="E51" s="647">
        <f>+'4. Dr Gáspár HSZK'!E93</f>
        <v>0</v>
      </c>
      <c r="F51" s="837">
        <f>+'4. Dr Gáspár HSZK'!F93</f>
        <v>0</v>
      </c>
      <c r="G51" s="647">
        <f>+'4. Dr Gáspár HSZK'!G93</f>
        <v>0</v>
      </c>
      <c r="H51" s="824">
        <f>+'4. Dr Gáspár HSZK'!H93</f>
        <v>0</v>
      </c>
      <c r="I51" s="647">
        <f>+'4. Dr Gáspár HSZK'!I93</f>
        <v>0</v>
      </c>
      <c r="J51" s="775">
        <f>+'4. Dr Gáspár HSZK'!J93</f>
        <v>0</v>
      </c>
      <c r="K51" s="647"/>
      <c r="L51" s="838">
        <f t="shared" si="0"/>
        <v>0</v>
      </c>
      <c r="M51" s="838">
        <f t="shared" si="1"/>
        <v>0</v>
      </c>
      <c r="N51" s="839">
        <f t="shared" si="2"/>
        <v>0</v>
      </c>
      <c r="O51" s="647"/>
      <c r="P51" s="824">
        <f>+'4. Dr Gáspár HSZK'!P93</f>
        <v>0</v>
      </c>
      <c r="Q51" s="647">
        <f>+'4. Dr Gáspár HSZK'!Q93</f>
        <v>0</v>
      </c>
      <c r="R51" s="647">
        <f>+'4. Dr Gáspár HSZK'!R93</f>
        <v>0</v>
      </c>
      <c r="S51" s="647">
        <f>+'4. Dr Gáspár HSZK'!S93</f>
        <v>0</v>
      </c>
      <c r="T51" s="840">
        <f t="shared" ref="T51:T60" si="28">IF(C51=0,0,S51/C51)</f>
        <v>0</v>
      </c>
      <c r="U51" s="494"/>
      <c r="V51" s="494"/>
    </row>
    <row r="52" spans="1:22" x14ac:dyDescent="0.25">
      <c r="A52" s="836" t="str">
        <f t="shared" ref="A52" si="29">+A25</f>
        <v>B2</v>
      </c>
      <c r="B52" s="655" t="s">
        <v>453</v>
      </c>
      <c r="C52" s="824"/>
      <c r="D52" s="647"/>
      <c r="E52" s="647"/>
      <c r="F52" s="837"/>
      <c r="G52" s="647"/>
      <c r="H52" s="824"/>
      <c r="I52" s="647"/>
      <c r="J52" s="775"/>
      <c r="K52" s="647"/>
      <c r="L52" s="838">
        <f t="shared" si="0"/>
        <v>0</v>
      </c>
      <c r="M52" s="838">
        <f t="shared" si="1"/>
        <v>0</v>
      </c>
      <c r="N52" s="839">
        <f t="shared" si="2"/>
        <v>0</v>
      </c>
      <c r="O52" s="647"/>
      <c r="P52" s="824"/>
      <c r="Q52" s="647"/>
      <c r="R52" s="647"/>
      <c r="S52" s="647"/>
      <c r="T52" s="840">
        <f t="shared" si="28"/>
        <v>0</v>
      </c>
      <c r="U52" s="494"/>
      <c r="V52" s="494"/>
    </row>
    <row r="53" spans="1:22" x14ac:dyDescent="0.25">
      <c r="A53" s="836" t="str">
        <f t="shared" ref="A53" si="30">+A26</f>
        <v>B3</v>
      </c>
      <c r="B53" s="655" t="s">
        <v>272</v>
      </c>
      <c r="C53" s="824"/>
      <c r="D53" s="647"/>
      <c r="E53" s="647"/>
      <c r="F53" s="837"/>
      <c r="G53" s="647"/>
      <c r="H53" s="824"/>
      <c r="I53" s="647"/>
      <c r="J53" s="775"/>
      <c r="K53" s="647"/>
      <c r="L53" s="838">
        <f t="shared" si="0"/>
        <v>0</v>
      </c>
      <c r="M53" s="838">
        <f t="shared" si="1"/>
        <v>0</v>
      </c>
      <c r="N53" s="839">
        <f t="shared" si="2"/>
        <v>0</v>
      </c>
      <c r="O53" s="647"/>
      <c r="P53" s="824"/>
      <c r="Q53" s="647"/>
      <c r="R53" s="647"/>
      <c r="S53" s="647"/>
      <c r="T53" s="840">
        <f t="shared" si="28"/>
        <v>0</v>
      </c>
      <c r="U53" s="494"/>
      <c r="V53" s="494"/>
    </row>
    <row r="54" spans="1:22" x14ac:dyDescent="0.25">
      <c r="A54" s="836" t="str">
        <f t="shared" ref="A54" si="31">+A27</f>
        <v>B4</v>
      </c>
      <c r="B54" s="655" t="s">
        <v>286</v>
      </c>
      <c r="C54" s="824">
        <f>+'4. Dr Gáspár HSZK'!C95</f>
        <v>8041000</v>
      </c>
      <c r="D54" s="647">
        <f>+'4. Dr Gáspár HSZK'!D95</f>
        <v>8041000</v>
      </c>
      <c r="E54" s="647">
        <f>+'4. Dr Gáspár HSZK'!E95</f>
        <v>8041000</v>
      </c>
      <c r="F54" s="837">
        <f>+'4. Dr Gáspár HSZK'!F95</f>
        <v>6491971</v>
      </c>
      <c r="G54" s="647"/>
      <c r="H54" s="824">
        <f>+'4. Dr Gáspár HSZK'!H95</f>
        <v>3200907</v>
      </c>
      <c r="I54" s="647">
        <f>+'4. Dr Gáspár HSZK'!I95</f>
        <v>4942170</v>
      </c>
      <c r="J54" s="775">
        <f>+'4. Dr Gáspár HSZK'!J95</f>
        <v>6481102</v>
      </c>
      <c r="K54" s="647"/>
      <c r="L54" s="838">
        <f t="shared" si="0"/>
        <v>0.39807324959582141</v>
      </c>
      <c r="M54" s="838">
        <f t="shared" si="1"/>
        <v>0.61462131575674672</v>
      </c>
      <c r="N54" s="839">
        <f t="shared" si="2"/>
        <v>0.99832577810344503</v>
      </c>
      <c r="O54" s="647"/>
      <c r="P54" s="824">
        <f>+'4. Dr Gáspár HSZK'!P95</f>
        <v>0</v>
      </c>
      <c r="Q54" s="647">
        <f>+'4. Dr Gáspár HSZK'!Q95</f>
        <v>0</v>
      </c>
      <c r="R54" s="647">
        <f>+'4. Dr Gáspár HSZK'!R95</f>
        <v>-1549029</v>
      </c>
      <c r="S54" s="647">
        <f>+'4. Dr Gáspár HSZK'!S95</f>
        <v>-1549029</v>
      </c>
      <c r="T54" s="840">
        <f t="shared" si="28"/>
        <v>-0.19264133814202214</v>
      </c>
      <c r="U54" s="494"/>
      <c r="V54" s="494"/>
    </row>
    <row r="55" spans="1:22" x14ac:dyDescent="0.25">
      <c r="A55" s="836" t="str">
        <f t="shared" ref="A55" si="32">+A28</f>
        <v>B5</v>
      </c>
      <c r="B55" s="655" t="s">
        <v>312</v>
      </c>
      <c r="C55" s="824"/>
      <c r="D55" s="647"/>
      <c r="E55" s="647"/>
      <c r="F55" s="837"/>
      <c r="G55" s="647"/>
      <c r="H55" s="824"/>
      <c r="I55" s="647"/>
      <c r="J55" s="775"/>
      <c r="K55" s="647"/>
      <c r="L55" s="838">
        <f t="shared" si="0"/>
        <v>0</v>
      </c>
      <c r="M55" s="838">
        <f t="shared" si="1"/>
        <v>0</v>
      </c>
      <c r="N55" s="839">
        <f t="shared" si="2"/>
        <v>0</v>
      </c>
      <c r="O55" s="647"/>
      <c r="P55" s="824"/>
      <c r="Q55" s="647"/>
      <c r="R55" s="647"/>
      <c r="S55" s="647"/>
      <c r="T55" s="840">
        <f t="shared" si="28"/>
        <v>0</v>
      </c>
      <c r="U55" s="494"/>
      <c r="V55" s="494"/>
    </row>
    <row r="56" spans="1:22" x14ac:dyDescent="0.25">
      <c r="A56" s="836" t="str">
        <f t="shared" ref="A56" si="33">+A29</f>
        <v>B6</v>
      </c>
      <c r="B56" s="655" t="s">
        <v>322</v>
      </c>
      <c r="C56" s="824"/>
      <c r="D56" s="647"/>
      <c r="E56" s="647"/>
      <c r="F56" s="837"/>
      <c r="G56" s="647"/>
      <c r="H56" s="824"/>
      <c r="I56" s="647"/>
      <c r="J56" s="775"/>
      <c r="K56" s="647"/>
      <c r="L56" s="838">
        <f t="shared" si="0"/>
        <v>0</v>
      </c>
      <c r="M56" s="838">
        <f t="shared" si="1"/>
        <v>0</v>
      </c>
      <c r="N56" s="839">
        <f t="shared" si="2"/>
        <v>0</v>
      </c>
      <c r="O56" s="647"/>
      <c r="P56" s="824"/>
      <c r="Q56" s="647"/>
      <c r="R56" s="647"/>
      <c r="S56" s="647"/>
      <c r="T56" s="840">
        <f t="shared" si="28"/>
        <v>0</v>
      </c>
      <c r="U56" s="494"/>
      <c r="V56" s="494"/>
    </row>
    <row r="57" spans="1:22" x14ac:dyDescent="0.25">
      <c r="A57" s="836" t="str">
        <f t="shared" ref="A57" si="34">+A30</f>
        <v>B7</v>
      </c>
      <c r="B57" s="655" t="s">
        <v>329</v>
      </c>
      <c r="C57" s="824"/>
      <c r="D57" s="647"/>
      <c r="E57" s="647"/>
      <c r="F57" s="837"/>
      <c r="G57" s="647"/>
      <c r="H57" s="824"/>
      <c r="I57" s="647"/>
      <c r="J57" s="775"/>
      <c r="K57" s="647"/>
      <c r="L57" s="838">
        <f t="shared" si="0"/>
        <v>0</v>
      </c>
      <c r="M57" s="838">
        <f t="shared" si="1"/>
        <v>0</v>
      </c>
      <c r="N57" s="839">
        <f t="shared" si="2"/>
        <v>0</v>
      </c>
      <c r="O57" s="647"/>
      <c r="P57" s="824"/>
      <c r="Q57" s="647"/>
      <c r="R57" s="647"/>
      <c r="S57" s="663" t="s">
        <v>475</v>
      </c>
      <c r="T57" s="840">
        <f t="shared" si="28"/>
        <v>0</v>
      </c>
      <c r="U57" s="494"/>
      <c r="V57" s="494"/>
    </row>
    <row r="58" spans="1:22" x14ac:dyDescent="0.25">
      <c r="A58" s="836" t="str">
        <f>+A31</f>
        <v>B8-ból maradványértéken túli finanszírozási bevételek</v>
      </c>
      <c r="B58" s="655"/>
      <c r="C58" s="824">
        <f>+'4. Dr Gáspár HSZK'!C99-C59</f>
        <v>27645188</v>
      </c>
      <c r="D58" s="647">
        <f>+'4. Dr Gáspár HSZK'!D99-D59</f>
        <v>27645188</v>
      </c>
      <c r="E58" s="647">
        <f>+'4. Dr Gáspár HSZK'!E99-E59</f>
        <v>27645188</v>
      </c>
      <c r="F58" s="837">
        <f>+'4. Dr Gáspár HSZK'!F99-F59</f>
        <v>29194217</v>
      </c>
      <c r="G58" s="647"/>
      <c r="H58" s="824">
        <f>+'4. Dr Gáspár HSZK'!H99-H59</f>
        <v>16415669</v>
      </c>
      <c r="I58" s="647">
        <f>+'4. Dr Gáspár HSZK'!I99-I59</f>
        <v>22839221</v>
      </c>
      <c r="J58" s="775">
        <f>+'4. Dr Gáspár HSZK'!J99-J59</f>
        <v>29194217</v>
      </c>
      <c r="K58" s="647"/>
      <c r="L58" s="838">
        <f t="shared" si="0"/>
        <v>0.59379842162766261</v>
      </c>
      <c r="M58" s="838">
        <f t="shared" si="1"/>
        <v>0.82615538733178451</v>
      </c>
      <c r="N58" s="839">
        <f t="shared" si="2"/>
        <v>1</v>
      </c>
      <c r="O58" s="647"/>
      <c r="P58" s="824">
        <f>+'4. Dr Gáspár HSZK'!P99-P59</f>
        <v>0</v>
      </c>
      <c r="Q58" s="647">
        <f>+'4. Dr Gáspár HSZK'!Q99-Q59</f>
        <v>0</v>
      </c>
      <c r="R58" s="647">
        <f>+'4. Dr Gáspár HSZK'!R99-R59</f>
        <v>1549029</v>
      </c>
      <c r="S58" s="647">
        <f>+'4. Dr Gáspár HSZK'!S99-S59</f>
        <v>1549029</v>
      </c>
      <c r="T58" s="840">
        <f t="shared" si="28"/>
        <v>5.6032500122625319E-2</v>
      </c>
      <c r="U58" s="494"/>
      <c r="V58" s="494"/>
    </row>
    <row r="59" spans="1:22" x14ac:dyDescent="0.25">
      <c r="A59" s="836" t="str">
        <f>+A32</f>
        <v>B8-ból előző évi mardvány igénybevétele</v>
      </c>
      <c r="B59" s="655"/>
      <c r="C59" s="824">
        <f>+'4. Dr Gáspár HSZK'!C101</f>
        <v>1561774</v>
      </c>
      <c r="D59" s="647">
        <f>+'4. Dr Gáspár HSZK'!D101</f>
        <v>1561774</v>
      </c>
      <c r="E59" s="647">
        <f>+'4. Dr Gáspár HSZK'!E101</f>
        <v>1561774</v>
      </c>
      <c r="F59" s="837">
        <f>+'4. Dr Gáspár HSZK'!F101</f>
        <v>1561774</v>
      </c>
      <c r="G59" s="647"/>
      <c r="H59" s="824">
        <f>+'4. Dr Gáspár HSZK'!H101</f>
        <v>1561774</v>
      </c>
      <c r="I59" s="647">
        <f>+'4. Dr Gáspár HSZK'!I101</f>
        <v>1561774</v>
      </c>
      <c r="J59" s="775">
        <f>+'4. Dr Gáspár HSZK'!J101</f>
        <v>1561774</v>
      </c>
      <c r="K59" s="647"/>
      <c r="L59" s="838">
        <f t="shared" si="0"/>
        <v>1</v>
      </c>
      <c r="M59" s="838">
        <f t="shared" si="1"/>
        <v>1</v>
      </c>
      <c r="N59" s="839">
        <f t="shared" si="2"/>
        <v>1</v>
      </c>
      <c r="O59" s="647"/>
      <c r="P59" s="824">
        <f>+'4. Dr Gáspár HSZK'!P101</f>
        <v>0</v>
      </c>
      <c r="Q59" s="647">
        <f>+'4. Dr Gáspár HSZK'!Q101</f>
        <v>0</v>
      </c>
      <c r="R59" s="647">
        <f>+'4. Dr Gáspár HSZK'!R101</f>
        <v>0</v>
      </c>
      <c r="S59" s="647">
        <f>+'4. Dr Gáspár HSZK'!S101</f>
        <v>0</v>
      </c>
      <c r="T59" s="840">
        <f t="shared" si="28"/>
        <v>0</v>
      </c>
      <c r="U59" s="494"/>
      <c r="V59" s="494"/>
    </row>
    <row r="60" spans="1:22" x14ac:dyDescent="0.25">
      <c r="A60" s="856"/>
      <c r="B60" s="843" t="s">
        <v>379</v>
      </c>
      <c r="C60" s="844">
        <f>SUM(C51:C59)</f>
        <v>37247962</v>
      </c>
      <c r="D60" s="845">
        <f t="shared" ref="D60" si="35">SUM(D51:D59)</f>
        <v>37247962</v>
      </c>
      <c r="E60" s="845">
        <f t="shared" ref="E60" si="36">SUM(E51:E59)</f>
        <v>37247962</v>
      </c>
      <c r="F60" s="846">
        <f t="shared" ref="F60" si="37">SUM(F51:F59)</f>
        <v>37247962</v>
      </c>
      <c r="G60" s="845"/>
      <c r="H60" s="844">
        <f t="shared" ref="H60" si="38">SUM(H51:H59)</f>
        <v>21178350</v>
      </c>
      <c r="I60" s="845">
        <f t="shared" ref="I60" si="39">SUM(I51:I59)</f>
        <v>29343165</v>
      </c>
      <c r="J60" s="847">
        <f t="shared" ref="J60" si="40">SUM(J51:J59)</f>
        <v>37237093</v>
      </c>
      <c r="K60" s="857"/>
      <c r="L60" s="858">
        <f t="shared" si="0"/>
        <v>0.56857741639663395</v>
      </c>
      <c r="M60" s="858">
        <f t="shared" si="1"/>
        <v>0.78777907365777489</v>
      </c>
      <c r="N60" s="859">
        <f t="shared" si="2"/>
        <v>0.99970819880024575</v>
      </c>
      <c r="O60" s="857"/>
      <c r="P60" s="844">
        <f t="shared" ref="P60" si="41">SUM(P51:P59)</f>
        <v>0</v>
      </c>
      <c r="Q60" s="845">
        <f t="shared" ref="Q60" si="42">SUM(Q51:Q59)</f>
        <v>0</v>
      </c>
      <c r="R60" s="845">
        <f t="shared" ref="R60" si="43">SUM(R51:R59)</f>
        <v>0</v>
      </c>
      <c r="S60" s="847">
        <f t="shared" ref="S60" si="44">SUM(S51:S59)</f>
        <v>0</v>
      </c>
      <c r="T60" s="851">
        <f t="shared" si="28"/>
        <v>0</v>
      </c>
      <c r="U60" s="494"/>
      <c r="V60" s="494"/>
    </row>
    <row r="61" spans="1:22" x14ac:dyDescent="0.25">
      <c r="A61" s="860"/>
      <c r="B61" s="647"/>
      <c r="C61" s="824"/>
      <c r="D61" s="647"/>
      <c r="E61" s="647"/>
      <c r="F61" s="837"/>
      <c r="G61" s="647"/>
      <c r="H61" s="824"/>
      <c r="I61" s="647"/>
      <c r="J61" s="775"/>
      <c r="K61" s="647"/>
      <c r="L61" s="838"/>
      <c r="M61" s="838"/>
      <c r="N61" s="839"/>
      <c r="O61" s="647"/>
      <c r="P61" s="824"/>
      <c r="Q61" s="647"/>
      <c r="R61" s="647"/>
      <c r="S61" s="647"/>
      <c r="T61" s="861"/>
      <c r="U61" s="494"/>
      <c r="V61" s="494"/>
    </row>
    <row r="62" spans="1:22" ht="13.8" thickBot="1" x14ac:dyDescent="0.3">
      <c r="A62" s="862"/>
      <c r="B62" s="863" t="s">
        <v>463</v>
      </c>
      <c r="C62" s="864">
        <f>+C60-C49</f>
        <v>0</v>
      </c>
      <c r="D62" s="865">
        <f>+D60-D49</f>
        <v>0</v>
      </c>
      <c r="E62" s="865">
        <f>+E60-E49</f>
        <v>0</v>
      </c>
      <c r="F62" s="866">
        <f>+F60-F49</f>
        <v>0</v>
      </c>
      <c r="G62" s="865"/>
      <c r="H62" s="864">
        <f>+H60-H49</f>
        <v>2664556</v>
      </c>
      <c r="I62" s="865">
        <f>+I60-I49</f>
        <v>2704160</v>
      </c>
      <c r="J62" s="867">
        <f>+J60-J49</f>
        <v>1338822</v>
      </c>
      <c r="K62" s="868"/>
      <c r="L62" s="869">
        <f t="shared" si="0"/>
        <v>0</v>
      </c>
      <c r="M62" s="869">
        <f t="shared" si="1"/>
        <v>0</v>
      </c>
      <c r="N62" s="870">
        <f t="shared" si="2"/>
        <v>0</v>
      </c>
      <c r="O62" s="868"/>
      <c r="P62" s="864">
        <f>+P60-P49</f>
        <v>0</v>
      </c>
      <c r="Q62" s="865">
        <f>+Q60-Q49</f>
        <v>0</v>
      </c>
      <c r="R62" s="865">
        <f>+R60-R49</f>
        <v>0</v>
      </c>
      <c r="S62" s="867">
        <f>+S60-S49</f>
        <v>0</v>
      </c>
      <c r="T62" s="878">
        <f>IF(C62=0,0,S62/C62)</f>
        <v>0</v>
      </c>
      <c r="U62" s="494"/>
      <c r="V62" s="494"/>
    </row>
    <row r="63" spans="1:22" x14ac:dyDescent="0.25">
      <c r="A63" s="593"/>
      <c r="B63" s="593"/>
      <c r="C63" s="824"/>
      <c r="D63" s="648"/>
      <c r="E63" s="648"/>
      <c r="F63" s="823"/>
      <c r="G63" s="648"/>
      <c r="H63" s="824"/>
      <c r="I63" s="647"/>
      <c r="J63" s="797"/>
      <c r="K63" s="648"/>
      <c r="L63" s="838"/>
      <c r="M63" s="838"/>
      <c r="N63" s="839"/>
      <c r="O63" s="648"/>
      <c r="P63" s="824"/>
      <c r="Q63" s="647"/>
      <c r="R63" s="647"/>
      <c r="S63" s="647"/>
      <c r="T63" s="861"/>
      <c r="U63" s="494"/>
      <c r="V63" s="494"/>
    </row>
    <row r="64" spans="1:22" ht="13.8" thickBot="1" x14ac:dyDescent="0.3">
      <c r="A64" s="593"/>
      <c r="B64" s="593"/>
      <c r="C64" s="824"/>
      <c r="D64" s="648"/>
      <c r="E64" s="648"/>
      <c r="F64" s="823"/>
      <c r="G64" s="648"/>
      <c r="H64" s="824"/>
      <c r="I64" s="647"/>
      <c r="J64" s="797"/>
      <c r="K64" s="648"/>
      <c r="L64" s="838"/>
      <c r="M64" s="838"/>
      <c r="N64" s="839"/>
      <c r="O64" s="648"/>
      <c r="P64" s="824"/>
      <c r="Q64" s="647"/>
      <c r="R64" s="647"/>
      <c r="S64" s="647"/>
      <c r="T64" s="861"/>
      <c r="U64" s="494"/>
      <c r="V64" s="494"/>
    </row>
    <row r="65" spans="1:22" ht="18" thickBot="1" x14ac:dyDescent="0.3">
      <c r="A65" s="872" t="s">
        <v>478</v>
      </c>
      <c r="B65" s="873"/>
      <c r="C65" s="593"/>
      <c r="D65" s="648"/>
      <c r="E65" s="648"/>
      <c r="F65" s="823"/>
      <c r="G65" s="648"/>
      <c r="H65" s="824"/>
      <c r="I65" s="647"/>
      <c r="J65" s="797"/>
      <c r="K65" s="648"/>
      <c r="L65" s="838"/>
      <c r="M65" s="838"/>
      <c r="N65" s="839"/>
      <c r="O65" s="648"/>
      <c r="P65" s="824"/>
      <c r="Q65" s="647"/>
      <c r="R65" s="647"/>
      <c r="S65" s="647"/>
      <c r="T65" s="861"/>
      <c r="U65" s="494"/>
      <c r="V65" s="494"/>
    </row>
    <row r="66" spans="1:22" x14ac:dyDescent="0.25">
      <c r="A66" s="827"/>
      <c r="B66" s="828"/>
      <c r="C66" s="829"/>
      <c r="D66" s="830"/>
      <c r="E66" s="830"/>
      <c r="F66" s="831"/>
      <c r="G66" s="830"/>
      <c r="H66" s="829"/>
      <c r="I66" s="832"/>
      <c r="J66" s="833"/>
      <c r="K66" s="830"/>
      <c r="L66" s="874"/>
      <c r="M66" s="874"/>
      <c r="N66" s="875"/>
      <c r="O66" s="830"/>
      <c r="P66" s="829"/>
      <c r="Q66" s="832"/>
      <c r="R66" s="832"/>
      <c r="S66" s="832"/>
      <c r="T66" s="876"/>
      <c r="U66" s="494"/>
      <c r="V66" s="494"/>
    </row>
    <row r="67" spans="1:22" x14ac:dyDescent="0.25">
      <c r="A67" s="836" t="s">
        <v>0</v>
      </c>
      <c r="B67" s="655" t="str">
        <f t="shared" ref="B67:B75" si="45">+B40</f>
        <v>Személyi juttatások</v>
      </c>
      <c r="C67" s="824">
        <f>+'5. Csicsergő'!C13</f>
        <v>148459000</v>
      </c>
      <c r="D67" s="647">
        <f>+'5. Csicsergő'!D13</f>
        <v>148459000</v>
      </c>
      <c r="E67" s="647">
        <f>+'5. Csicsergő'!E13</f>
        <v>148459000</v>
      </c>
      <c r="F67" s="837">
        <f>+'5. Csicsergő'!F13</f>
        <v>145306971</v>
      </c>
      <c r="G67" s="647"/>
      <c r="H67" s="824">
        <f>+'5. Csicsergő'!H13</f>
        <v>68859120</v>
      </c>
      <c r="I67" s="647">
        <f>+'5. Csicsergő'!I13</f>
        <v>105554261</v>
      </c>
      <c r="J67" s="775">
        <f>+'5. Csicsergő'!J13</f>
        <v>145306971</v>
      </c>
      <c r="K67" s="647"/>
      <c r="L67" s="838">
        <f t="shared" si="0"/>
        <v>0.46382583743659866</v>
      </c>
      <c r="M67" s="838">
        <f t="shared" si="1"/>
        <v>0.71099940724375077</v>
      </c>
      <c r="N67" s="839">
        <f t="shared" si="2"/>
        <v>1</v>
      </c>
      <c r="O67" s="647"/>
      <c r="P67" s="824">
        <f>+'5. Csicsergő'!P13</f>
        <v>0</v>
      </c>
      <c r="Q67" s="647">
        <f>+'5. Csicsergő'!Q13</f>
        <v>0</v>
      </c>
      <c r="R67" s="647">
        <f>+'5. Csicsergő'!R13</f>
        <v>-3152029</v>
      </c>
      <c r="S67" s="647">
        <f>+'5. Csicsergő'!S13</f>
        <v>-3152029</v>
      </c>
      <c r="T67" s="840">
        <f t="shared" ref="T67:T76" si="46">IF(C67=0,0,S67/C67)</f>
        <v>-2.1231646447840816E-2</v>
      </c>
      <c r="U67" s="494"/>
      <c r="V67" s="494"/>
    </row>
    <row r="68" spans="1:22" x14ac:dyDescent="0.25">
      <c r="A68" s="836" t="s">
        <v>27</v>
      </c>
      <c r="B68" s="655" t="str">
        <f t="shared" si="45"/>
        <v>Munkaadót terhelő járulékok és szociális hozzájárulás</v>
      </c>
      <c r="C68" s="824">
        <f>+'5. Csicsergő'!C30</f>
        <v>30300000</v>
      </c>
      <c r="D68" s="647">
        <f>+'5. Csicsergő'!D30</f>
        <v>30300000</v>
      </c>
      <c r="E68" s="647">
        <f>+'5. Csicsergő'!E30</f>
        <v>30300000</v>
      </c>
      <c r="F68" s="837">
        <f>+'5. Csicsergő'!F30</f>
        <v>29246638</v>
      </c>
      <c r="G68" s="647"/>
      <c r="H68" s="824">
        <f>+'5. Csicsergő'!H30</f>
        <v>14667948</v>
      </c>
      <c r="I68" s="647">
        <f>+'5. Csicsergő'!I30</f>
        <v>21992464</v>
      </c>
      <c r="J68" s="775">
        <f>+'5. Csicsergő'!J30</f>
        <v>29246638</v>
      </c>
      <c r="K68" s="647"/>
      <c r="L68" s="838">
        <f t="shared" si="0"/>
        <v>0.48409069306930691</v>
      </c>
      <c r="M68" s="838">
        <f t="shared" si="1"/>
        <v>0.72582389438943895</v>
      </c>
      <c r="N68" s="839">
        <f t="shared" si="2"/>
        <v>1</v>
      </c>
      <c r="O68" s="647"/>
      <c r="P68" s="824">
        <f>+'5. Csicsergő'!P30</f>
        <v>0</v>
      </c>
      <c r="Q68" s="647">
        <f>+'5. Csicsergő'!Q30</f>
        <v>0</v>
      </c>
      <c r="R68" s="647">
        <f>+'5. Csicsergő'!R30</f>
        <v>-1053362</v>
      </c>
      <c r="S68" s="647">
        <f>+'5. Csicsergő'!S30</f>
        <v>-1053362</v>
      </c>
      <c r="T68" s="840">
        <f t="shared" si="46"/>
        <v>-3.4764422442244224E-2</v>
      </c>
      <c r="U68" s="494"/>
      <c r="V68" s="494"/>
    </row>
    <row r="69" spans="1:22" x14ac:dyDescent="0.25">
      <c r="A69" s="836" t="s">
        <v>30</v>
      </c>
      <c r="B69" s="655" t="str">
        <f t="shared" si="45"/>
        <v>Dologi kiadások</v>
      </c>
      <c r="C69" s="824">
        <f>+'5. Csicsergő'!C33</f>
        <v>14085000</v>
      </c>
      <c r="D69" s="647">
        <f>+'5. Csicsergő'!D33</f>
        <v>14085000</v>
      </c>
      <c r="E69" s="647">
        <f>+'5. Csicsergő'!E33</f>
        <v>14085000</v>
      </c>
      <c r="F69" s="837">
        <f>+'5. Csicsergő'!F33</f>
        <v>14397545</v>
      </c>
      <c r="G69" s="647"/>
      <c r="H69" s="824">
        <f>+'5. Csicsergő'!H33</f>
        <v>7026286</v>
      </c>
      <c r="I69" s="647">
        <f>+'5. Csicsergő'!I33</f>
        <v>9465395</v>
      </c>
      <c r="J69" s="775">
        <f>+'5. Csicsergő'!J33</f>
        <v>13465833</v>
      </c>
      <c r="K69" s="647"/>
      <c r="L69" s="838">
        <f t="shared" si="0"/>
        <v>0.49884884629037984</v>
      </c>
      <c r="M69" s="838">
        <f t="shared" si="1"/>
        <v>0.67201952431664891</v>
      </c>
      <c r="N69" s="839">
        <f t="shared" si="2"/>
        <v>0.93528674506660681</v>
      </c>
      <c r="O69" s="647"/>
      <c r="P69" s="824">
        <f>+'5. Csicsergő'!P33</f>
        <v>0</v>
      </c>
      <c r="Q69" s="647">
        <f>+'5. Csicsergő'!Q33</f>
        <v>0</v>
      </c>
      <c r="R69" s="647">
        <f>+'5. Csicsergő'!R33</f>
        <v>312545</v>
      </c>
      <c r="S69" s="647">
        <f>+'5. Csicsergő'!S33</f>
        <v>312545</v>
      </c>
      <c r="T69" s="840">
        <f t="shared" si="46"/>
        <v>2.2189918352857649E-2</v>
      </c>
      <c r="U69" s="494"/>
      <c r="V69" s="494"/>
    </row>
    <row r="70" spans="1:22" x14ac:dyDescent="0.25">
      <c r="A70" s="836" t="s">
        <v>112</v>
      </c>
      <c r="B70" s="655" t="str">
        <f t="shared" si="45"/>
        <v>Elláttotak pénzbeli juttatásai</v>
      </c>
      <c r="C70" s="824"/>
      <c r="D70" s="647"/>
      <c r="E70" s="647"/>
      <c r="F70" s="837"/>
      <c r="G70" s="647"/>
      <c r="H70" s="824"/>
      <c r="I70" s="647"/>
      <c r="J70" s="775"/>
      <c r="K70" s="647"/>
      <c r="L70" s="838">
        <f t="shared" si="0"/>
        <v>0</v>
      </c>
      <c r="M70" s="838">
        <f t="shared" si="1"/>
        <v>0</v>
      </c>
      <c r="N70" s="839">
        <f t="shared" si="2"/>
        <v>0</v>
      </c>
      <c r="O70" s="647"/>
      <c r="P70" s="824"/>
      <c r="Q70" s="647"/>
      <c r="R70" s="647"/>
      <c r="S70" s="647"/>
      <c r="T70" s="840">
        <f t="shared" si="46"/>
        <v>0</v>
      </c>
      <c r="U70" s="494"/>
      <c r="V70" s="494"/>
    </row>
    <row r="71" spans="1:22" x14ac:dyDescent="0.25">
      <c r="A71" s="841" t="s">
        <v>378</v>
      </c>
      <c r="B71" s="655" t="str">
        <f t="shared" si="45"/>
        <v>Egyéb működési célú kiadások</v>
      </c>
      <c r="C71" s="824"/>
      <c r="D71" s="647"/>
      <c r="E71" s="647"/>
      <c r="F71" s="837"/>
      <c r="G71" s="647"/>
      <c r="H71" s="824"/>
      <c r="I71" s="647"/>
      <c r="J71" s="775"/>
      <c r="K71" s="647"/>
      <c r="L71" s="838">
        <f t="shared" si="0"/>
        <v>0</v>
      </c>
      <c r="M71" s="838">
        <f t="shared" si="1"/>
        <v>0</v>
      </c>
      <c r="N71" s="839">
        <f t="shared" si="2"/>
        <v>0</v>
      </c>
      <c r="O71" s="647"/>
      <c r="P71" s="824"/>
      <c r="Q71" s="647"/>
      <c r="R71" s="647"/>
      <c r="S71" s="647"/>
      <c r="T71" s="840">
        <f t="shared" si="46"/>
        <v>0</v>
      </c>
      <c r="U71" s="494"/>
      <c r="V71" s="494"/>
    </row>
    <row r="72" spans="1:22" x14ac:dyDescent="0.25">
      <c r="A72" s="836" t="s">
        <v>159</v>
      </c>
      <c r="B72" s="655" t="str">
        <f t="shared" si="45"/>
        <v>Beruházások</v>
      </c>
      <c r="C72" s="824">
        <f>+'5. Csicsergő'!C84</f>
        <v>3260000</v>
      </c>
      <c r="D72" s="647">
        <f>+'5. Csicsergő'!D84</f>
        <v>3260000</v>
      </c>
      <c r="E72" s="647">
        <f>+'5. Csicsergő'!E84</f>
        <v>3260000</v>
      </c>
      <c r="F72" s="837">
        <f>+'5. Csicsergő'!F84</f>
        <v>2350000</v>
      </c>
      <c r="G72" s="647"/>
      <c r="H72" s="824">
        <f>+'5. Csicsergő'!H84</f>
        <v>1006401</v>
      </c>
      <c r="I72" s="647">
        <f>+'5. Csicsergő'!I84</f>
        <v>1414881</v>
      </c>
      <c r="J72" s="775">
        <f>+'5. Csicsergő'!J84</f>
        <v>1719571</v>
      </c>
      <c r="K72" s="647"/>
      <c r="L72" s="838">
        <f t="shared" si="0"/>
        <v>0.30871196319018407</v>
      </c>
      <c r="M72" s="838">
        <f t="shared" si="1"/>
        <v>0.43401257668711657</v>
      </c>
      <c r="N72" s="839">
        <f t="shared" si="2"/>
        <v>0.73173234042553192</v>
      </c>
      <c r="O72" s="647"/>
      <c r="P72" s="824">
        <f>+'5. Csicsergő'!P84</f>
        <v>0</v>
      </c>
      <c r="Q72" s="647">
        <f>+'5. Csicsergő'!Q84</f>
        <v>0</v>
      </c>
      <c r="R72" s="647">
        <f>+'5. Csicsergő'!R84</f>
        <v>-910000</v>
      </c>
      <c r="S72" s="647">
        <f>+'5. Csicsergő'!S84</f>
        <v>-910000</v>
      </c>
      <c r="T72" s="840">
        <f t="shared" si="46"/>
        <v>-0.27914110429447853</v>
      </c>
      <c r="U72" s="494"/>
      <c r="V72" s="494"/>
    </row>
    <row r="73" spans="1:22" x14ac:dyDescent="0.25">
      <c r="A73" s="836" t="s">
        <v>174</v>
      </c>
      <c r="B73" s="655" t="str">
        <f t="shared" si="45"/>
        <v>Felújítások</v>
      </c>
      <c r="C73" s="824">
        <f>+'5. Csicsergő'!C87</f>
        <v>0</v>
      </c>
      <c r="D73" s="647">
        <f>+'5. Csicsergő'!D87</f>
        <v>0</v>
      </c>
      <c r="E73" s="647">
        <f>+'5. Csicsergő'!E87</f>
        <v>0</v>
      </c>
      <c r="F73" s="837">
        <f>+'5. Csicsergő'!F87</f>
        <v>0</v>
      </c>
      <c r="G73" s="647"/>
      <c r="H73" s="824">
        <f>+'5. Csicsergő'!H87</f>
        <v>0</v>
      </c>
      <c r="I73" s="647">
        <f>+'5. Csicsergő'!I87</f>
        <v>0</v>
      </c>
      <c r="J73" s="775">
        <f>+'5. Csicsergő'!J87</f>
        <v>0</v>
      </c>
      <c r="K73" s="647"/>
      <c r="L73" s="838">
        <f t="shared" si="0"/>
        <v>0</v>
      </c>
      <c r="M73" s="838">
        <f t="shared" si="1"/>
        <v>0</v>
      </c>
      <c r="N73" s="839">
        <f t="shared" si="2"/>
        <v>0</v>
      </c>
      <c r="O73" s="647"/>
      <c r="P73" s="824">
        <f>+'5. Csicsergő'!P87</f>
        <v>0</v>
      </c>
      <c r="Q73" s="647">
        <f>+'5. Csicsergő'!Q87</f>
        <v>0</v>
      </c>
      <c r="R73" s="647">
        <f>+'5. Csicsergő'!R87</f>
        <v>0</v>
      </c>
      <c r="S73" s="647">
        <f>+'5. Csicsergő'!S87</f>
        <v>0</v>
      </c>
      <c r="T73" s="840">
        <f t="shared" si="46"/>
        <v>0</v>
      </c>
      <c r="U73" s="494"/>
      <c r="V73" s="494"/>
    </row>
    <row r="74" spans="1:22" x14ac:dyDescent="0.25">
      <c r="A74" s="836" t="s">
        <v>184</v>
      </c>
      <c r="B74" s="655" t="str">
        <f t="shared" si="45"/>
        <v>Szolgáltatások kiadásai</v>
      </c>
      <c r="C74" s="824"/>
      <c r="D74" s="647"/>
      <c r="E74" s="647"/>
      <c r="F74" s="837"/>
      <c r="G74" s="647"/>
      <c r="H74" s="824"/>
      <c r="I74" s="647"/>
      <c r="J74" s="775"/>
      <c r="K74" s="647"/>
      <c r="L74" s="838">
        <f t="shared" si="0"/>
        <v>0</v>
      </c>
      <c r="M74" s="838">
        <f t="shared" si="1"/>
        <v>0</v>
      </c>
      <c r="N74" s="839">
        <f t="shared" si="2"/>
        <v>0</v>
      </c>
      <c r="O74" s="647"/>
      <c r="P74" s="824"/>
      <c r="Q74" s="647"/>
      <c r="R74" s="647"/>
      <c r="S74" s="647"/>
      <c r="T74" s="840">
        <f t="shared" si="46"/>
        <v>0</v>
      </c>
      <c r="U74" s="494"/>
      <c r="V74" s="494"/>
    </row>
    <row r="75" spans="1:22" x14ac:dyDescent="0.25">
      <c r="A75" s="836" t="s">
        <v>202</v>
      </c>
      <c r="B75" s="655" t="str">
        <f t="shared" si="45"/>
        <v>Finanszírozási kiadások</v>
      </c>
      <c r="C75" s="860"/>
      <c r="D75" s="653"/>
      <c r="E75" s="653"/>
      <c r="F75" s="877"/>
      <c r="G75" s="653"/>
      <c r="H75" s="860"/>
      <c r="I75" s="653"/>
      <c r="J75" s="797"/>
      <c r="K75" s="653"/>
      <c r="L75" s="838">
        <f t="shared" si="0"/>
        <v>0</v>
      </c>
      <c r="M75" s="838">
        <f t="shared" si="1"/>
        <v>0</v>
      </c>
      <c r="N75" s="839">
        <f t="shared" si="2"/>
        <v>0</v>
      </c>
      <c r="O75" s="653"/>
      <c r="P75" s="860"/>
      <c r="Q75" s="593"/>
      <c r="R75" s="593"/>
      <c r="S75" s="593"/>
      <c r="T75" s="840">
        <f t="shared" si="46"/>
        <v>0</v>
      </c>
      <c r="U75" s="494"/>
      <c r="V75" s="494"/>
    </row>
    <row r="76" spans="1:22" x14ac:dyDescent="0.25">
      <c r="A76" s="842"/>
      <c r="B76" s="843" t="s">
        <v>380</v>
      </c>
      <c r="C76" s="844">
        <f>SUM(C67:C75)</f>
        <v>196104000</v>
      </c>
      <c r="D76" s="845">
        <f t="shared" ref="D76" si="47">SUM(D67:D75)</f>
        <v>196104000</v>
      </c>
      <c r="E76" s="845">
        <f t="shared" ref="E76" si="48">SUM(E67:E75)</f>
        <v>196104000</v>
      </c>
      <c r="F76" s="846">
        <f t="shared" ref="F76" si="49">SUM(F67:F75)</f>
        <v>191301154</v>
      </c>
      <c r="G76" s="845"/>
      <c r="H76" s="844">
        <f t="shared" ref="H76" si="50">SUM(H67:H75)</f>
        <v>91559755</v>
      </c>
      <c r="I76" s="845">
        <f t="shared" ref="I76" si="51">SUM(I67:I75)</f>
        <v>138427001</v>
      </c>
      <c r="J76" s="847">
        <f t="shared" ref="J76" si="52">SUM(J67:J75)</f>
        <v>189739013</v>
      </c>
      <c r="K76" s="848"/>
      <c r="L76" s="849">
        <f t="shared" si="0"/>
        <v>0.46689386753967282</v>
      </c>
      <c r="M76" s="849">
        <f t="shared" si="1"/>
        <v>0.70588565761024757</v>
      </c>
      <c r="N76" s="850">
        <f t="shared" si="2"/>
        <v>0.99183412662528947</v>
      </c>
      <c r="O76" s="848"/>
      <c r="P76" s="844">
        <f t="shared" ref="P76" si="53">SUM(P67:P75)</f>
        <v>0</v>
      </c>
      <c r="Q76" s="845">
        <f t="shared" ref="Q76" si="54">SUM(Q67:Q75)</f>
        <v>0</v>
      </c>
      <c r="R76" s="845">
        <f t="shared" ref="R76" si="55">SUM(R67:R75)</f>
        <v>-4802846</v>
      </c>
      <c r="S76" s="847">
        <f t="shared" ref="S76" si="56">SUM(S67:S75)</f>
        <v>-4802846</v>
      </c>
      <c r="T76" s="851">
        <f t="shared" si="46"/>
        <v>-2.44913209317505E-2</v>
      </c>
      <c r="U76" s="494"/>
      <c r="V76" s="494"/>
    </row>
    <row r="77" spans="1:22" x14ac:dyDescent="0.25">
      <c r="A77" s="860"/>
      <c r="B77" s="593"/>
      <c r="C77" s="860"/>
      <c r="D77" s="653"/>
      <c r="E77" s="653"/>
      <c r="F77" s="877"/>
      <c r="G77" s="653"/>
      <c r="H77" s="860"/>
      <c r="I77" s="653"/>
      <c r="J77" s="797"/>
      <c r="K77" s="653"/>
      <c r="L77" s="838"/>
      <c r="M77" s="838"/>
      <c r="N77" s="839"/>
      <c r="O77" s="653"/>
      <c r="P77" s="860"/>
      <c r="Q77" s="593"/>
      <c r="R77" s="593"/>
      <c r="S77" s="593"/>
      <c r="T77" s="840"/>
      <c r="U77" s="494"/>
      <c r="V77" s="494"/>
    </row>
    <row r="78" spans="1:22" x14ac:dyDescent="0.25">
      <c r="A78" s="836" t="str">
        <f t="shared" ref="A78:B84" si="57">+A51</f>
        <v>B1</v>
      </c>
      <c r="B78" s="655" t="str">
        <f t="shared" si="57"/>
        <v>Működési célú tám-ok államháztartáson belülről</v>
      </c>
      <c r="C78" s="824">
        <f>+'5. Csicsergő'!C93</f>
        <v>0</v>
      </c>
      <c r="D78" s="647">
        <f>+'5. Csicsergő'!D93</f>
        <v>0</v>
      </c>
      <c r="E78" s="647">
        <f>+'5. Csicsergő'!E93</f>
        <v>0</v>
      </c>
      <c r="F78" s="837">
        <f>+'5. Csicsergő'!F93</f>
        <v>0</v>
      </c>
      <c r="G78" s="647"/>
      <c r="H78" s="824">
        <f>+'5. Csicsergő'!H93</f>
        <v>0</v>
      </c>
      <c r="I78" s="647">
        <f>+'5. Csicsergő'!I93</f>
        <v>0</v>
      </c>
      <c r="J78" s="775">
        <f>+'5. Csicsergő'!J93</f>
        <v>0</v>
      </c>
      <c r="K78" s="647"/>
      <c r="L78" s="838">
        <f t="shared" ref="L78:L141" si="58">IF(D78=0,0,H78/D78)</f>
        <v>0</v>
      </c>
      <c r="M78" s="838">
        <f t="shared" ref="M78:M141" si="59">IF(E78=0,0,I78/E78)</f>
        <v>0</v>
      </c>
      <c r="N78" s="839">
        <f t="shared" ref="N78:N141" si="60">IF(F78=0,0,J78/F78)</f>
        <v>0</v>
      </c>
      <c r="O78" s="647"/>
      <c r="P78" s="824">
        <f>+'5. Csicsergő'!P93</f>
        <v>0</v>
      </c>
      <c r="Q78" s="647">
        <f>+'5. Csicsergő'!Q93</f>
        <v>0</v>
      </c>
      <c r="R78" s="647">
        <f>+'5. Csicsergő'!R93</f>
        <v>0</v>
      </c>
      <c r="S78" s="647">
        <f>+'5. Csicsergő'!S93</f>
        <v>0</v>
      </c>
      <c r="T78" s="840">
        <f t="shared" ref="T78:T87" si="61">IF(C78=0,0,S78/C78)</f>
        <v>0</v>
      </c>
      <c r="U78" s="494"/>
      <c r="V78" s="494"/>
    </row>
    <row r="79" spans="1:22" x14ac:dyDescent="0.25">
      <c r="A79" s="836" t="str">
        <f t="shared" si="57"/>
        <v>B2</v>
      </c>
      <c r="B79" s="655" t="str">
        <f t="shared" si="57"/>
        <v>Felhalmozási célú tám-ok államházt-on belülről</v>
      </c>
      <c r="C79" s="824"/>
      <c r="D79" s="647"/>
      <c r="E79" s="647"/>
      <c r="F79" s="837"/>
      <c r="G79" s="647"/>
      <c r="H79" s="824"/>
      <c r="I79" s="647"/>
      <c r="J79" s="775"/>
      <c r="K79" s="647"/>
      <c r="L79" s="838">
        <f t="shared" si="58"/>
        <v>0</v>
      </c>
      <c r="M79" s="838">
        <f t="shared" si="59"/>
        <v>0</v>
      </c>
      <c r="N79" s="839">
        <f t="shared" si="60"/>
        <v>0</v>
      </c>
      <c r="O79" s="647"/>
      <c r="P79" s="824"/>
      <c r="Q79" s="647"/>
      <c r="R79" s="647"/>
      <c r="S79" s="647"/>
      <c r="T79" s="840">
        <f t="shared" si="61"/>
        <v>0</v>
      </c>
      <c r="U79" s="494"/>
      <c r="V79" s="494"/>
    </row>
    <row r="80" spans="1:22" x14ac:dyDescent="0.25">
      <c r="A80" s="836" t="str">
        <f t="shared" si="57"/>
        <v>B3</v>
      </c>
      <c r="B80" s="655" t="str">
        <f t="shared" si="57"/>
        <v>Közhatalmi bevételek</v>
      </c>
      <c r="C80" s="824"/>
      <c r="D80" s="647"/>
      <c r="E80" s="647"/>
      <c r="F80" s="837"/>
      <c r="G80" s="647"/>
      <c r="H80" s="824"/>
      <c r="I80" s="647"/>
      <c r="J80" s="775"/>
      <c r="K80" s="647"/>
      <c r="L80" s="838">
        <f t="shared" si="58"/>
        <v>0</v>
      </c>
      <c r="M80" s="838">
        <f t="shared" si="59"/>
        <v>0</v>
      </c>
      <c r="N80" s="839">
        <f t="shared" si="60"/>
        <v>0</v>
      </c>
      <c r="O80" s="647"/>
      <c r="P80" s="824"/>
      <c r="Q80" s="647"/>
      <c r="R80" s="647"/>
      <c r="S80" s="647"/>
      <c r="T80" s="840">
        <f t="shared" si="61"/>
        <v>0</v>
      </c>
      <c r="U80" s="494"/>
      <c r="V80" s="494"/>
    </row>
    <row r="81" spans="1:22" x14ac:dyDescent="0.25">
      <c r="A81" s="836" t="str">
        <f t="shared" si="57"/>
        <v>B4</v>
      </c>
      <c r="B81" s="655" t="str">
        <f t="shared" si="57"/>
        <v>Működési bevételek</v>
      </c>
      <c r="C81" s="824">
        <f>+'5. Csicsergő'!C95</f>
        <v>0</v>
      </c>
      <c r="D81" s="647">
        <f>+'5. Csicsergő'!D95</f>
        <v>0</v>
      </c>
      <c r="E81" s="647">
        <f>+'5. Csicsergő'!E95</f>
        <v>0</v>
      </c>
      <c r="F81" s="837">
        <f>+'5. Csicsergő'!F95</f>
        <v>28053</v>
      </c>
      <c r="G81" s="647"/>
      <c r="H81" s="824">
        <f>+'5. Csicsergő'!H95</f>
        <v>2868</v>
      </c>
      <c r="I81" s="647">
        <f>+'5. Csicsergő'!I95</f>
        <v>5683</v>
      </c>
      <c r="J81" s="775">
        <f>+'5. Csicsergő'!J95</f>
        <v>28053</v>
      </c>
      <c r="K81" s="647"/>
      <c r="L81" s="838">
        <f t="shared" si="58"/>
        <v>0</v>
      </c>
      <c r="M81" s="838">
        <f t="shared" si="59"/>
        <v>0</v>
      </c>
      <c r="N81" s="839">
        <f t="shared" si="60"/>
        <v>1</v>
      </c>
      <c r="O81" s="647"/>
      <c r="P81" s="824">
        <f>+'5. Csicsergő'!P95</f>
        <v>0</v>
      </c>
      <c r="Q81" s="647">
        <f>+'5. Csicsergő'!Q95</f>
        <v>0</v>
      </c>
      <c r="R81" s="647">
        <f>+'5. Csicsergő'!R95</f>
        <v>28053</v>
      </c>
      <c r="S81" s="647">
        <f>+'5. Csicsergő'!S95</f>
        <v>28053</v>
      </c>
      <c r="T81" s="840">
        <f t="shared" si="61"/>
        <v>0</v>
      </c>
      <c r="U81" s="494"/>
      <c r="V81" s="494"/>
    </row>
    <row r="82" spans="1:22" x14ac:dyDescent="0.25">
      <c r="A82" s="836" t="str">
        <f t="shared" si="57"/>
        <v>B5</v>
      </c>
      <c r="B82" s="655" t="str">
        <f t="shared" si="57"/>
        <v>Felhalmozási bevételek</v>
      </c>
      <c r="C82" s="824"/>
      <c r="D82" s="647"/>
      <c r="E82" s="647"/>
      <c r="F82" s="837"/>
      <c r="G82" s="647"/>
      <c r="H82" s="824"/>
      <c r="I82" s="647"/>
      <c r="J82" s="775"/>
      <c r="K82" s="647"/>
      <c r="L82" s="838">
        <f t="shared" si="58"/>
        <v>0</v>
      </c>
      <c r="M82" s="838">
        <f t="shared" si="59"/>
        <v>0</v>
      </c>
      <c r="N82" s="839">
        <f t="shared" si="60"/>
        <v>0</v>
      </c>
      <c r="O82" s="647"/>
      <c r="P82" s="824"/>
      <c r="Q82" s="647"/>
      <c r="R82" s="647"/>
      <c r="S82" s="647"/>
      <c r="T82" s="840">
        <f t="shared" si="61"/>
        <v>0</v>
      </c>
      <c r="U82" s="494"/>
      <c r="V82" s="494"/>
    </row>
    <row r="83" spans="1:22" x14ac:dyDescent="0.25">
      <c r="A83" s="836" t="str">
        <f t="shared" si="57"/>
        <v>B6</v>
      </c>
      <c r="B83" s="655" t="str">
        <f t="shared" si="57"/>
        <v>Működési célú átvett pénzeszközök</v>
      </c>
      <c r="C83" s="824"/>
      <c r="D83" s="647"/>
      <c r="E83" s="647"/>
      <c r="F83" s="837"/>
      <c r="G83" s="647"/>
      <c r="H83" s="824"/>
      <c r="I83" s="647"/>
      <c r="J83" s="775"/>
      <c r="K83" s="647"/>
      <c r="L83" s="838">
        <f t="shared" si="58"/>
        <v>0</v>
      </c>
      <c r="M83" s="838">
        <f t="shared" si="59"/>
        <v>0</v>
      </c>
      <c r="N83" s="839">
        <f t="shared" si="60"/>
        <v>0</v>
      </c>
      <c r="O83" s="647"/>
      <c r="P83" s="824"/>
      <c r="Q83" s="647"/>
      <c r="R83" s="647"/>
      <c r="S83" s="647"/>
      <c r="T83" s="840">
        <f t="shared" si="61"/>
        <v>0</v>
      </c>
      <c r="U83" s="494"/>
      <c r="V83" s="494"/>
    </row>
    <row r="84" spans="1:22" x14ac:dyDescent="0.25">
      <c r="A84" s="836" t="str">
        <f t="shared" si="57"/>
        <v>B7</v>
      </c>
      <c r="B84" s="655" t="str">
        <f t="shared" si="57"/>
        <v>Felhalmozási célú átvett pénzeszközök</v>
      </c>
      <c r="C84" s="824"/>
      <c r="D84" s="647"/>
      <c r="E84" s="647"/>
      <c r="F84" s="837"/>
      <c r="G84" s="647"/>
      <c r="H84" s="824"/>
      <c r="I84" s="647"/>
      <c r="J84" s="775"/>
      <c r="K84" s="647"/>
      <c r="L84" s="838">
        <f t="shared" si="58"/>
        <v>0</v>
      </c>
      <c r="M84" s="838">
        <f t="shared" si="59"/>
        <v>0</v>
      </c>
      <c r="N84" s="839">
        <f t="shared" si="60"/>
        <v>0</v>
      </c>
      <c r="O84" s="647"/>
      <c r="P84" s="824"/>
      <c r="Q84" s="647"/>
      <c r="R84" s="647"/>
      <c r="S84" s="647"/>
      <c r="T84" s="840">
        <f t="shared" si="61"/>
        <v>0</v>
      </c>
      <c r="U84" s="494"/>
      <c r="V84" s="494"/>
    </row>
    <row r="85" spans="1:22" x14ac:dyDescent="0.25">
      <c r="A85" s="836" t="str">
        <f>+A58</f>
        <v>B8-ból maradványértéken túli finanszírozási bevételek</v>
      </c>
      <c r="B85" s="655"/>
      <c r="C85" s="824">
        <f>+'5. Csicsergő'!C99-C86</f>
        <v>195602326</v>
      </c>
      <c r="D85" s="647">
        <f>+'5. Csicsergő'!D99-D86</f>
        <v>195602326</v>
      </c>
      <c r="E85" s="647">
        <f>+'5. Csicsergő'!E99-E86</f>
        <v>195602326</v>
      </c>
      <c r="F85" s="837">
        <f>+'5. Csicsergő'!F99-F86</f>
        <v>190771427</v>
      </c>
      <c r="G85" s="647"/>
      <c r="H85" s="824">
        <f>+'5. Csicsergő'!H99-H86</f>
        <v>94292856</v>
      </c>
      <c r="I85" s="647">
        <f>+'5. Csicsergő'!I99-I86</f>
        <v>140672813</v>
      </c>
      <c r="J85" s="775">
        <f>+'5. Csicsergő'!J99-J86</f>
        <v>190771427</v>
      </c>
      <c r="K85" s="647"/>
      <c r="L85" s="838">
        <f t="shared" si="58"/>
        <v>0.48206408343017354</v>
      </c>
      <c r="M85" s="838">
        <f t="shared" si="59"/>
        <v>0.71917760834807254</v>
      </c>
      <c r="N85" s="839">
        <f t="shared" si="60"/>
        <v>1</v>
      </c>
      <c r="O85" s="647"/>
      <c r="P85" s="824">
        <f>+'5. Csicsergő'!P99-P86</f>
        <v>0</v>
      </c>
      <c r="Q85" s="647">
        <f>+'5. Csicsergő'!Q99-Q86</f>
        <v>0</v>
      </c>
      <c r="R85" s="647">
        <f>+'5. Csicsergő'!R99-R86</f>
        <v>-4830899</v>
      </c>
      <c r="S85" s="647">
        <f>+'5. Csicsergő'!S99-S86</f>
        <v>-4830899</v>
      </c>
      <c r="T85" s="840">
        <f t="shared" si="61"/>
        <v>-2.4697553954445308E-2</v>
      </c>
      <c r="U85" s="494"/>
      <c r="V85" s="494"/>
    </row>
    <row r="86" spans="1:22" x14ac:dyDescent="0.25">
      <c r="A86" s="836" t="str">
        <f>+A59</f>
        <v>B8-ból előző évi mardvány igénybevétele</v>
      </c>
      <c r="B86" s="655"/>
      <c r="C86" s="824">
        <f>+'5. Csicsergő'!C101</f>
        <v>501674</v>
      </c>
      <c r="D86" s="647">
        <f>+'5. Csicsergő'!D101</f>
        <v>501674</v>
      </c>
      <c r="E86" s="647">
        <f>+'5. Csicsergő'!E101</f>
        <v>501674</v>
      </c>
      <c r="F86" s="837">
        <f>+'5. Csicsergő'!F101</f>
        <v>501674</v>
      </c>
      <c r="G86" s="647"/>
      <c r="H86" s="824">
        <f>+'5. Csicsergő'!H101</f>
        <v>501674</v>
      </c>
      <c r="I86" s="647">
        <f>+'5. Csicsergő'!I101</f>
        <v>501674</v>
      </c>
      <c r="J86" s="775">
        <f>+'5. Csicsergő'!J101</f>
        <v>501674</v>
      </c>
      <c r="K86" s="647"/>
      <c r="L86" s="838">
        <f t="shared" si="58"/>
        <v>1</v>
      </c>
      <c r="M86" s="838">
        <f t="shared" si="59"/>
        <v>1</v>
      </c>
      <c r="N86" s="839">
        <f t="shared" si="60"/>
        <v>1</v>
      </c>
      <c r="O86" s="647"/>
      <c r="P86" s="824">
        <f>+'5. Csicsergő'!P101</f>
        <v>0</v>
      </c>
      <c r="Q86" s="647">
        <f>+'5. Csicsergő'!Q101</f>
        <v>0</v>
      </c>
      <c r="R86" s="647">
        <f>+'5. Csicsergő'!R101</f>
        <v>0</v>
      </c>
      <c r="S86" s="647">
        <f>+'5. Csicsergő'!S101</f>
        <v>0</v>
      </c>
      <c r="T86" s="840">
        <f t="shared" si="61"/>
        <v>0</v>
      </c>
      <c r="U86" s="494"/>
      <c r="V86" s="494"/>
    </row>
    <row r="87" spans="1:22" x14ac:dyDescent="0.25">
      <c r="A87" s="856"/>
      <c r="B87" s="843" t="s">
        <v>379</v>
      </c>
      <c r="C87" s="844">
        <f>SUM(C78:C86)</f>
        <v>196104000</v>
      </c>
      <c r="D87" s="845">
        <f t="shared" ref="D87" si="62">SUM(D78:D86)</f>
        <v>196104000</v>
      </c>
      <c r="E87" s="845">
        <f t="shared" ref="E87" si="63">SUM(E78:E86)</f>
        <v>196104000</v>
      </c>
      <c r="F87" s="846">
        <f t="shared" ref="F87" si="64">SUM(F78:F86)</f>
        <v>191301154</v>
      </c>
      <c r="G87" s="845"/>
      <c r="H87" s="844">
        <f t="shared" ref="H87" si="65">SUM(H78:H86)</f>
        <v>94797398</v>
      </c>
      <c r="I87" s="845">
        <f t="shared" ref="I87" si="66">SUM(I78:I86)</f>
        <v>141180170</v>
      </c>
      <c r="J87" s="847">
        <f t="shared" ref="J87" si="67">SUM(J78:J86)</f>
        <v>191301154</v>
      </c>
      <c r="K87" s="857"/>
      <c r="L87" s="858">
        <f t="shared" si="58"/>
        <v>0.48340369395830785</v>
      </c>
      <c r="M87" s="858">
        <f t="shared" si="59"/>
        <v>0.71992498878146294</v>
      </c>
      <c r="N87" s="859">
        <f t="shared" si="60"/>
        <v>1</v>
      </c>
      <c r="O87" s="857"/>
      <c r="P87" s="844">
        <f t="shared" ref="P87" si="68">SUM(P78:P86)</f>
        <v>0</v>
      </c>
      <c r="Q87" s="845">
        <f t="shared" ref="Q87" si="69">SUM(Q78:Q86)</f>
        <v>0</v>
      </c>
      <c r="R87" s="845">
        <f t="shared" ref="R87" si="70">SUM(R78:R86)</f>
        <v>-4802846</v>
      </c>
      <c r="S87" s="847">
        <f t="shared" ref="S87" si="71">SUM(S78:S86)</f>
        <v>-4802846</v>
      </c>
      <c r="T87" s="851">
        <f t="shared" si="61"/>
        <v>-2.44913209317505E-2</v>
      </c>
      <c r="U87" s="494"/>
      <c r="V87" s="494"/>
    </row>
    <row r="88" spans="1:22" x14ac:dyDescent="0.25">
      <c r="A88" s="860"/>
      <c r="B88" s="647"/>
      <c r="C88" s="824"/>
      <c r="D88" s="647"/>
      <c r="E88" s="647"/>
      <c r="F88" s="837"/>
      <c r="G88" s="647"/>
      <c r="H88" s="824"/>
      <c r="I88" s="647"/>
      <c r="J88" s="775"/>
      <c r="K88" s="647"/>
      <c r="L88" s="838"/>
      <c r="M88" s="838"/>
      <c r="N88" s="839"/>
      <c r="O88" s="647"/>
      <c r="P88" s="824"/>
      <c r="Q88" s="647"/>
      <c r="R88" s="647"/>
      <c r="S88" s="647"/>
      <c r="T88" s="861"/>
      <c r="U88" s="494"/>
      <c r="V88" s="494"/>
    </row>
    <row r="89" spans="1:22" ht="13.8" thickBot="1" x14ac:dyDescent="0.3">
      <c r="A89" s="862"/>
      <c r="B89" s="863" t="s">
        <v>463</v>
      </c>
      <c r="C89" s="864">
        <f>+C87-C76</f>
        <v>0</v>
      </c>
      <c r="D89" s="865">
        <f>+D87-D76</f>
        <v>0</v>
      </c>
      <c r="E89" s="865">
        <f>+E87-E76</f>
        <v>0</v>
      </c>
      <c r="F89" s="866">
        <f>+F87-F76</f>
        <v>0</v>
      </c>
      <c r="G89" s="865"/>
      <c r="H89" s="864">
        <f>+H87-H76</f>
        <v>3237643</v>
      </c>
      <c r="I89" s="865">
        <f>+I87-I76</f>
        <v>2753169</v>
      </c>
      <c r="J89" s="867">
        <f>+J87-J76</f>
        <v>1562141</v>
      </c>
      <c r="K89" s="868"/>
      <c r="L89" s="869">
        <f t="shared" si="58"/>
        <v>0</v>
      </c>
      <c r="M89" s="869">
        <f t="shared" si="59"/>
        <v>0</v>
      </c>
      <c r="N89" s="870">
        <f t="shared" si="60"/>
        <v>0</v>
      </c>
      <c r="O89" s="868"/>
      <c r="P89" s="864">
        <f>+P87-P76</f>
        <v>0</v>
      </c>
      <c r="Q89" s="865">
        <f>+Q87-Q76</f>
        <v>0</v>
      </c>
      <c r="R89" s="865">
        <f>+R87-R76</f>
        <v>0</v>
      </c>
      <c r="S89" s="867">
        <f>+S87-S76</f>
        <v>0</v>
      </c>
      <c r="T89" s="878">
        <f>IF(C89=0,0,S89/C89)</f>
        <v>0</v>
      </c>
      <c r="U89" s="494"/>
      <c r="V89" s="494"/>
    </row>
    <row r="90" spans="1:22" x14ac:dyDescent="0.25">
      <c r="A90" s="655"/>
      <c r="B90" s="655"/>
      <c r="C90" s="824"/>
      <c r="D90" s="647"/>
      <c r="E90" s="647"/>
      <c r="F90" s="837"/>
      <c r="G90" s="647"/>
      <c r="H90" s="824"/>
      <c r="I90" s="647"/>
      <c r="J90" s="775"/>
      <c r="K90" s="647"/>
      <c r="L90" s="838"/>
      <c r="M90" s="838"/>
      <c r="N90" s="839"/>
      <c r="O90" s="647"/>
      <c r="P90" s="824"/>
      <c r="Q90" s="647"/>
      <c r="R90" s="647"/>
      <c r="S90" s="647"/>
      <c r="T90" s="861"/>
      <c r="U90" s="494"/>
      <c r="V90" s="494"/>
    </row>
    <row r="91" spans="1:22" ht="13.8" thickBot="1" x14ac:dyDescent="0.3">
      <c r="A91" s="655"/>
      <c r="B91" s="655"/>
      <c r="C91" s="824"/>
      <c r="D91" s="647"/>
      <c r="E91" s="647"/>
      <c r="F91" s="837"/>
      <c r="G91" s="647"/>
      <c r="H91" s="824"/>
      <c r="I91" s="647"/>
      <c r="J91" s="775"/>
      <c r="K91" s="647"/>
      <c r="L91" s="838"/>
      <c r="M91" s="838"/>
      <c r="N91" s="839"/>
      <c r="O91" s="647"/>
      <c r="P91" s="824"/>
      <c r="Q91" s="647"/>
      <c r="R91" s="647"/>
      <c r="S91" s="647"/>
      <c r="T91" s="861"/>
      <c r="U91" s="494"/>
      <c r="V91" s="494"/>
    </row>
    <row r="92" spans="1:22" ht="18" thickBot="1" x14ac:dyDescent="0.3">
      <c r="A92" s="872" t="s">
        <v>461</v>
      </c>
      <c r="B92" s="873"/>
      <c r="C92" s="593"/>
      <c r="D92" s="647"/>
      <c r="E92" s="647"/>
      <c r="F92" s="837"/>
      <c r="G92" s="647"/>
      <c r="H92" s="824"/>
      <c r="I92" s="647"/>
      <c r="J92" s="775"/>
      <c r="K92" s="647"/>
      <c r="L92" s="838"/>
      <c r="M92" s="838"/>
      <c r="N92" s="839"/>
      <c r="O92" s="647"/>
      <c r="P92" s="824"/>
      <c r="Q92" s="647"/>
      <c r="R92" s="647"/>
      <c r="S92" s="647"/>
      <c r="T92" s="861"/>
      <c r="U92" s="494"/>
      <c r="V92" s="494"/>
    </row>
    <row r="93" spans="1:22" x14ac:dyDescent="0.25">
      <c r="A93" s="827"/>
      <c r="B93" s="879"/>
      <c r="C93" s="829"/>
      <c r="D93" s="832"/>
      <c r="E93" s="832"/>
      <c r="F93" s="880"/>
      <c r="G93" s="832"/>
      <c r="H93" s="829"/>
      <c r="I93" s="832"/>
      <c r="J93" s="881"/>
      <c r="K93" s="832"/>
      <c r="L93" s="874"/>
      <c r="M93" s="874"/>
      <c r="N93" s="875"/>
      <c r="O93" s="832"/>
      <c r="P93" s="829"/>
      <c r="Q93" s="832"/>
      <c r="R93" s="832"/>
      <c r="S93" s="832"/>
      <c r="T93" s="876"/>
      <c r="U93" s="494"/>
      <c r="V93" s="494"/>
    </row>
    <row r="94" spans="1:22" x14ac:dyDescent="0.25">
      <c r="A94" s="836" t="s">
        <v>0</v>
      </c>
      <c r="B94" s="655" t="str">
        <f t="shared" ref="B94:B102" si="72">+B67</f>
        <v>Személyi juttatások</v>
      </c>
      <c r="C94" s="824">
        <f>+'6. Gólyahír'!C13</f>
        <v>38374000</v>
      </c>
      <c r="D94" s="647">
        <f>+'6. Gólyahír'!D13</f>
        <v>38374000</v>
      </c>
      <c r="E94" s="647">
        <f>+'6. Gólyahír'!E13</f>
        <v>38374000</v>
      </c>
      <c r="F94" s="837">
        <f>+'6. Gólyahír'!F13</f>
        <v>39119000</v>
      </c>
      <c r="G94" s="647"/>
      <c r="H94" s="824">
        <f>+'6. Gólyahír'!H13</f>
        <v>18295020</v>
      </c>
      <c r="I94" s="647">
        <f>+'6. Gólyahír'!I13</f>
        <v>28249333</v>
      </c>
      <c r="J94" s="775">
        <f>+'6. Gólyahír'!J13</f>
        <v>39003930</v>
      </c>
      <c r="K94" s="647"/>
      <c r="L94" s="838">
        <f t="shared" si="58"/>
        <v>0.47675561578151876</v>
      </c>
      <c r="M94" s="838">
        <f t="shared" si="59"/>
        <v>0.73615815395840933</v>
      </c>
      <c r="N94" s="839">
        <f t="shared" si="60"/>
        <v>0.99705846263963804</v>
      </c>
      <c r="O94" s="647"/>
      <c r="P94" s="824">
        <f>+'6. Gólyahír'!P13</f>
        <v>0</v>
      </c>
      <c r="Q94" s="647">
        <f>+'6. Gólyahír'!Q13</f>
        <v>0</v>
      </c>
      <c r="R94" s="647">
        <f>+'6. Gólyahír'!R13</f>
        <v>745000</v>
      </c>
      <c r="S94" s="647">
        <f>+'6. Gólyahír'!S13</f>
        <v>745000</v>
      </c>
      <c r="T94" s="840">
        <f t="shared" ref="T94:T103" si="73">IF(C94=0,0,S94/C94)</f>
        <v>1.9414186688903944E-2</v>
      </c>
      <c r="U94" s="494"/>
      <c r="V94" s="494"/>
    </row>
    <row r="95" spans="1:22" x14ac:dyDescent="0.25">
      <c r="A95" s="836" t="s">
        <v>27</v>
      </c>
      <c r="B95" s="655" t="str">
        <f t="shared" si="72"/>
        <v>Munkaadót terhelő járulékok és szociális hozzájárulás</v>
      </c>
      <c r="C95" s="824">
        <f>+'6. Gólyahír'!C29</f>
        <v>7570000</v>
      </c>
      <c r="D95" s="647">
        <f>+'6. Gólyahír'!D29</f>
        <v>7570000</v>
      </c>
      <c r="E95" s="647">
        <f>+'6. Gólyahír'!E29</f>
        <v>7570000</v>
      </c>
      <c r="F95" s="837">
        <f>+'6. Gólyahír'!F29</f>
        <v>7991000</v>
      </c>
      <c r="G95" s="647"/>
      <c r="H95" s="824">
        <f>+'6. Gólyahír'!H29</f>
        <v>3968216</v>
      </c>
      <c r="I95" s="647">
        <f>+'6. Gólyahír'!I29</f>
        <v>5974077</v>
      </c>
      <c r="J95" s="775">
        <f>+'6. Gólyahír'!J29</f>
        <v>7990466</v>
      </c>
      <c r="K95" s="647"/>
      <c r="L95" s="838">
        <f t="shared" si="58"/>
        <v>0.52420290620871868</v>
      </c>
      <c r="M95" s="838">
        <f t="shared" si="59"/>
        <v>0.78917793923381774</v>
      </c>
      <c r="N95" s="839">
        <f t="shared" si="60"/>
        <v>0.99993317482167443</v>
      </c>
      <c r="O95" s="647"/>
      <c r="P95" s="824">
        <f>+'6. Gólyahír'!P29</f>
        <v>0</v>
      </c>
      <c r="Q95" s="647">
        <f>+'6. Gólyahír'!Q29</f>
        <v>0</v>
      </c>
      <c r="R95" s="647">
        <f>+'6. Gólyahír'!R29</f>
        <v>421000</v>
      </c>
      <c r="S95" s="647">
        <f>+'6. Gólyahír'!S29</f>
        <v>421000</v>
      </c>
      <c r="T95" s="840">
        <f t="shared" si="73"/>
        <v>5.5614266842800526E-2</v>
      </c>
      <c r="U95" s="494"/>
      <c r="V95" s="494"/>
    </row>
    <row r="96" spans="1:22" x14ac:dyDescent="0.25">
      <c r="A96" s="836" t="s">
        <v>30</v>
      </c>
      <c r="B96" s="655" t="str">
        <f t="shared" si="72"/>
        <v>Dologi kiadások</v>
      </c>
      <c r="C96" s="824">
        <f>+'6. Gólyahír'!C32</f>
        <v>11039000</v>
      </c>
      <c r="D96" s="647">
        <f>+'6. Gólyahír'!D32</f>
        <v>11009000</v>
      </c>
      <c r="E96" s="647">
        <f>+'6. Gólyahír'!E32</f>
        <v>10899000</v>
      </c>
      <c r="F96" s="837">
        <f>+'6. Gólyahír'!F32</f>
        <v>9658000</v>
      </c>
      <c r="G96" s="647"/>
      <c r="H96" s="824">
        <f>+'6. Gólyahír'!H32</f>
        <v>3711532</v>
      </c>
      <c r="I96" s="647">
        <f>+'6. Gólyahír'!I32</f>
        <v>5986904</v>
      </c>
      <c r="J96" s="775">
        <f>+'6. Gólyahír'!J32</f>
        <v>9464289</v>
      </c>
      <c r="K96" s="647"/>
      <c r="L96" s="838">
        <f t="shared" si="58"/>
        <v>0.33713616132255425</v>
      </c>
      <c r="M96" s="838">
        <f t="shared" si="59"/>
        <v>0.54930764290301859</v>
      </c>
      <c r="N96" s="839">
        <f t="shared" si="60"/>
        <v>0.97994294885069377</v>
      </c>
      <c r="O96" s="647"/>
      <c r="P96" s="824">
        <f>+'6. Gólyahír'!P32</f>
        <v>-30000</v>
      </c>
      <c r="Q96" s="647">
        <f>+'6. Gólyahír'!Q32</f>
        <v>-110000</v>
      </c>
      <c r="R96" s="647">
        <f>+'6. Gólyahír'!R32</f>
        <v>-1241000</v>
      </c>
      <c r="S96" s="647">
        <f>+'6. Gólyahír'!S32</f>
        <v>-1381000</v>
      </c>
      <c r="T96" s="840">
        <f t="shared" si="73"/>
        <v>-0.12510191140501858</v>
      </c>
      <c r="U96" s="494"/>
      <c r="V96" s="494"/>
    </row>
    <row r="97" spans="1:22" x14ac:dyDescent="0.25">
      <c r="A97" s="836" t="s">
        <v>112</v>
      </c>
      <c r="B97" s="655" t="str">
        <f t="shared" si="72"/>
        <v>Elláttotak pénzbeli juttatásai</v>
      </c>
      <c r="C97" s="824"/>
      <c r="D97" s="647"/>
      <c r="E97" s="647"/>
      <c r="F97" s="837"/>
      <c r="G97" s="647"/>
      <c r="H97" s="824"/>
      <c r="I97" s="647"/>
      <c r="J97" s="775"/>
      <c r="K97" s="647"/>
      <c r="L97" s="838">
        <f t="shared" si="58"/>
        <v>0</v>
      </c>
      <c r="M97" s="838">
        <f t="shared" si="59"/>
        <v>0</v>
      </c>
      <c r="N97" s="839">
        <f t="shared" si="60"/>
        <v>0</v>
      </c>
      <c r="O97" s="647"/>
      <c r="P97" s="824"/>
      <c r="Q97" s="647"/>
      <c r="R97" s="647"/>
      <c r="S97" s="647"/>
      <c r="T97" s="840">
        <f t="shared" si="73"/>
        <v>0</v>
      </c>
      <c r="U97" s="494"/>
      <c r="V97" s="494"/>
    </row>
    <row r="98" spans="1:22" x14ac:dyDescent="0.25">
      <c r="A98" s="841" t="s">
        <v>378</v>
      </c>
      <c r="B98" s="655" t="str">
        <f t="shared" si="72"/>
        <v>Egyéb működési célú kiadások</v>
      </c>
      <c r="C98" s="824"/>
      <c r="D98" s="647"/>
      <c r="E98" s="647"/>
      <c r="F98" s="837"/>
      <c r="G98" s="647"/>
      <c r="H98" s="824"/>
      <c r="I98" s="647"/>
      <c r="J98" s="775"/>
      <c r="K98" s="647"/>
      <c r="L98" s="838">
        <f t="shared" si="58"/>
        <v>0</v>
      </c>
      <c r="M98" s="838">
        <f t="shared" si="59"/>
        <v>0</v>
      </c>
      <c r="N98" s="839">
        <f t="shared" si="60"/>
        <v>0</v>
      </c>
      <c r="O98" s="647"/>
      <c r="P98" s="824"/>
      <c r="Q98" s="647"/>
      <c r="R98" s="647"/>
      <c r="S98" s="647"/>
      <c r="T98" s="840">
        <f t="shared" si="73"/>
        <v>0</v>
      </c>
      <c r="U98" s="494"/>
      <c r="V98" s="494"/>
    </row>
    <row r="99" spans="1:22" x14ac:dyDescent="0.25">
      <c r="A99" s="836" t="s">
        <v>159</v>
      </c>
      <c r="B99" s="655" t="str">
        <f t="shared" si="72"/>
        <v>Beruházások</v>
      </c>
      <c r="C99" s="824">
        <f>+'6. Gólyahír'!C83</f>
        <v>16000</v>
      </c>
      <c r="D99" s="647">
        <f>+'6. Gólyahír'!D83</f>
        <v>46000</v>
      </c>
      <c r="E99" s="647">
        <f>+'6. Gólyahír'!E83</f>
        <v>156000</v>
      </c>
      <c r="F99" s="837">
        <f>+'6. Gólyahír'!F83</f>
        <v>231000</v>
      </c>
      <c r="G99" s="647"/>
      <c r="H99" s="824">
        <f>+'6. Gólyahír'!H83</f>
        <v>42990</v>
      </c>
      <c r="I99" s="647">
        <f>+'6. Gólyahír'!I83</f>
        <v>149290</v>
      </c>
      <c r="J99" s="775">
        <f>+'6. Gólyahír'!J83</f>
        <v>229280</v>
      </c>
      <c r="K99" s="647"/>
      <c r="L99" s="838">
        <f t="shared" si="58"/>
        <v>0.93456521739130438</v>
      </c>
      <c r="M99" s="838">
        <f t="shared" si="59"/>
        <v>0.95698717948717948</v>
      </c>
      <c r="N99" s="839">
        <f t="shared" si="60"/>
        <v>0.99255411255411252</v>
      </c>
      <c r="O99" s="647"/>
      <c r="P99" s="824">
        <f>+'6. Gólyahír'!P83</f>
        <v>30000</v>
      </c>
      <c r="Q99" s="647">
        <f>+'6. Gólyahír'!Q83</f>
        <v>110000</v>
      </c>
      <c r="R99" s="647">
        <f>+'6. Gólyahír'!R83</f>
        <v>75000</v>
      </c>
      <c r="S99" s="647">
        <f>+'6. Gólyahír'!S83</f>
        <v>215000</v>
      </c>
      <c r="T99" s="840">
        <f t="shared" si="73"/>
        <v>13.4375</v>
      </c>
      <c r="U99" s="494"/>
      <c r="V99" s="494"/>
    </row>
    <row r="100" spans="1:22" x14ac:dyDescent="0.25">
      <c r="A100" s="836" t="s">
        <v>174</v>
      </c>
      <c r="B100" s="655" t="str">
        <f t="shared" si="72"/>
        <v>Felújítások</v>
      </c>
      <c r="C100" s="824">
        <f>+'6. Gólyahír'!C86</f>
        <v>0</v>
      </c>
      <c r="D100" s="647">
        <f>+'6. Gólyahír'!D86</f>
        <v>0</v>
      </c>
      <c r="E100" s="647">
        <f>+'6. Gólyahír'!E86</f>
        <v>0</v>
      </c>
      <c r="F100" s="837">
        <f>+'6. Gólyahír'!F86</f>
        <v>0</v>
      </c>
      <c r="G100" s="647"/>
      <c r="H100" s="824">
        <f>+'6. Gólyahír'!H86</f>
        <v>0</v>
      </c>
      <c r="I100" s="647">
        <f>+'6. Gólyahír'!I86</f>
        <v>0</v>
      </c>
      <c r="J100" s="775">
        <f>+'6. Gólyahír'!J86</f>
        <v>0</v>
      </c>
      <c r="K100" s="647"/>
      <c r="L100" s="838">
        <f t="shared" si="58"/>
        <v>0</v>
      </c>
      <c r="M100" s="838">
        <f t="shared" si="59"/>
        <v>0</v>
      </c>
      <c r="N100" s="839">
        <f t="shared" si="60"/>
        <v>0</v>
      </c>
      <c r="O100" s="647"/>
      <c r="P100" s="824">
        <f>+'6. Gólyahír'!P86</f>
        <v>0</v>
      </c>
      <c r="Q100" s="647">
        <f>+'6. Gólyahír'!Q86</f>
        <v>0</v>
      </c>
      <c r="R100" s="647">
        <f>+'6. Gólyahír'!R86</f>
        <v>0</v>
      </c>
      <c r="S100" s="647">
        <f>+'6. Gólyahír'!S86</f>
        <v>0</v>
      </c>
      <c r="T100" s="840">
        <f t="shared" si="73"/>
        <v>0</v>
      </c>
      <c r="U100" s="494"/>
      <c r="V100" s="494"/>
    </row>
    <row r="101" spans="1:22" x14ac:dyDescent="0.25">
      <c r="A101" s="836" t="s">
        <v>184</v>
      </c>
      <c r="B101" s="655" t="str">
        <f t="shared" si="72"/>
        <v>Szolgáltatások kiadásai</v>
      </c>
      <c r="C101" s="824"/>
      <c r="D101" s="647"/>
      <c r="E101" s="647"/>
      <c r="F101" s="837"/>
      <c r="G101" s="647"/>
      <c r="H101" s="824"/>
      <c r="I101" s="647"/>
      <c r="J101" s="775"/>
      <c r="K101" s="647"/>
      <c r="L101" s="838">
        <f t="shared" si="58"/>
        <v>0</v>
      </c>
      <c r="M101" s="838">
        <f t="shared" si="59"/>
        <v>0</v>
      </c>
      <c r="N101" s="839">
        <f t="shared" si="60"/>
        <v>0</v>
      </c>
      <c r="O101" s="647"/>
      <c r="P101" s="824"/>
      <c r="Q101" s="647"/>
      <c r="R101" s="647"/>
      <c r="S101" s="647"/>
      <c r="T101" s="840">
        <f t="shared" si="73"/>
        <v>0</v>
      </c>
      <c r="U101" s="494"/>
      <c r="V101" s="494"/>
    </row>
    <row r="102" spans="1:22" x14ac:dyDescent="0.25">
      <c r="A102" s="836" t="s">
        <v>202</v>
      </c>
      <c r="B102" s="655" t="str">
        <f t="shared" si="72"/>
        <v>Finanszírozási kiadások</v>
      </c>
      <c r="C102" s="860"/>
      <c r="D102" s="653"/>
      <c r="E102" s="653"/>
      <c r="F102" s="877"/>
      <c r="G102" s="653"/>
      <c r="H102" s="860"/>
      <c r="I102" s="653"/>
      <c r="J102" s="797"/>
      <c r="K102" s="653"/>
      <c r="L102" s="838">
        <f t="shared" si="58"/>
        <v>0</v>
      </c>
      <c r="M102" s="838">
        <f t="shared" si="59"/>
        <v>0</v>
      </c>
      <c r="N102" s="839">
        <f t="shared" si="60"/>
        <v>0</v>
      </c>
      <c r="O102" s="653"/>
      <c r="P102" s="860"/>
      <c r="Q102" s="593"/>
      <c r="R102" s="593"/>
      <c r="S102" s="593"/>
      <c r="T102" s="840">
        <f t="shared" si="73"/>
        <v>0</v>
      </c>
      <c r="U102" s="494"/>
      <c r="V102" s="494"/>
    </row>
    <row r="103" spans="1:22" x14ac:dyDescent="0.25">
      <c r="A103" s="842"/>
      <c r="B103" s="843" t="s">
        <v>380</v>
      </c>
      <c r="C103" s="844">
        <f>SUM(C94:C102)</f>
        <v>56999000</v>
      </c>
      <c r="D103" s="845">
        <f t="shared" ref="D103" si="74">SUM(D94:D102)</f>
        <v>56999000</v>
      </c>
      <c r="E103" s="845">
        <f t="shared" ref="E103" si="75">SUM(E94:E102)</f>
        <v>56999000</v>
      </c>
      <c r="F103" s="846">
        <f t="shared" ref="F103" si="76">SUM(F94:F102)</f>
        <v>56999000</v>
      </c>
      <c r="G103" s="845"/>
      <c r="H103" s="844">
        <f t="shared" ref="H103" si="77">SUM(H94:H102)</f>
        <v>26017758</v>
      </c>
      <c r="I103" s="845">
        <f t="shared" ref="I103" si="78">SUM(I94:I102)</f>
        <v>40359604</v>
      </c>
      <c r="J103" s="847">
        <f t="shared" ref="J103" si="79">SUM(J94:J102)</f>
        <v>56687965</v>
      </c>
      <c r="K103" s="848"/>
      <c r="L103" s="849">
        <f t="shared" si="58"/>
        <v>0.4564599028053124</v>
      </c>
      <c r="M103" s="849">
        <f t="shared" si="59"/>
        <v>0.70807565045000787</v>
      </c>
      <c r="N103" s="850">
        <f t="shared" si="60"/>
        <v>0.99454314987982251</v>
      </c>
      <c r="O103" s="848"/>
      <c r="P103" s="844">
        <f t="shared" ref="P103" si="80">SUM(P94:P102)</f>
        <v>0</v>
      </c>
      <c r="Q103" s="845">
        <f t="shared" ref="Q103" si="81">SUM(Q94:Q102)</f>
        <v>0</v>
      </c>
      <c r="R103" s="845">
        <f t="shared" ref="R103" si="82">SUM(R94:R102)</f>
        <v>0</v>
      </c>
      <c r="S103" s="847">
        <f t="shared" ref="S103" si="83">SUM(S94:S102)</f>
        <v>0</v>
      </c>
      <c r="T103" s="851">
        <f t="shared" si="73"/>
        <v>0</v>
      </c>
      <c r="U103" s="494"/>
      <c r="V103" s="494"/>
    </row>
    <row r="104" spans="1:22" x14ac:dyDescent="0.25">
      <c r="A104" s="836"/>
      <c r="B104" s="655"/>
      <c r="C104" s="824"/>
      <c r="D104" s="647"/>
      <c r="E104" s="647"/>
      <c r="F104" s="837"/>
      <c r="G104" s="647"/>
      <c r="H104" s="824"/>
      <c r="I104" s="647"/>
      <c r="J104" s="775"/>
      <c r="K104" s="647"/>
      <c r="L104" s="838"/>
      <c r="M104" s="838"/>
      <c r="N104" s="839"/>
      <c r="O104" s="647"/>
      <c r="P104" s="824"/>
      <c r="Q104" s="647"/>
      <c r="R104" s="647"/>
      <c r="S104" s="647"/>
      <c r="T104" s="840"/>
      <c r="U104" s="494"/>
      <c r="V104" s="494"/>
    </row>
    <row r="105" spans="1:22" x14ac:dyDescent="0.25">
      <c r="A105" s="836" t="str">
        <f>+A78</f>
        <v>B1</v>
      </c>
      <c r="B105" s="593" t="str">
        <f>+B78</f>
        <v>Működési célú tám-ok államháztartáson belülről</v>
      </c>
      <c r="C105" s="824">
        <f>+'6. Gólyahír'!C93</f>
        <v>0</v>
      </c>
      <c r="D105" s="647">
        <f>+'6. Gólyahír'!D93</f>
        <v>0</v>
      </c>
      <c r="E105" s="647">
        <f>+'6. Gólyahír'!E93</f>
        <v>0</v>
      </c>
      <c r="F105" s="837">
        <f>+'6. Gólyahír'!F93</f>
        <v>0</v>
      </c>
      <c r="G105" s="647"/>
      <c r="H105" s="824">
        <f>+'6. Gólyahír'!H93</f>
        <v>0</v>
      </c>
      <c r="I105" s="647">
        <f>+'6. Gólyahír'!I93</f>
        <v>0</v>
      </c>
      <c r="J105" s="775">
        <f>+'6. Gólyahír'!J93</f>
        <v>0</v>
      </c>
      <c r="K105" s="647"/>
      <c r="L105" s="838">
        <f t="shared" si="58"/>
        <v>0</v>
      </c>
      <c r="M105" s="838">
        <f t="shared" si="59"/>
        <v>0</v>
      </c>
      <c r="N105" s="839">
        <f t="shared" si="60"/>
        <v>0</v>
      </c>
      <c r="O105" s="647"/>
      <c r="P105" s="824">
        <f>+'6. Gólyahír'!P93</f>
        <v>0</v>
      </c>
      <c r="Q105" s="647">
        <f>+'6. Gólyahír'!Q93</f>
        <v>0</v>
      </c>
      <c r="R105" s="647">
        <f>+'6. Gólyahír'!R93</f>
        <v>0</v>
      </c>
      <c r="S105" s="647">
        <f>+'6. Gólyahír'!S93</f>
        <v>0</v>
      </c>
      <c r="T105" s="840">
        <f t="shared" ref="T105:T114" si="84">IF(C105=0,0,S105/C105)</f>
        <v>0</v>
      </c>
      <c r="U105" s="494"/>
      <c r="V105" s="494"/>
    </row>
    <row r="106" spans="1:22" x14ac:dyDescent="0.25">
      <c r="A106" s="836" t="str">
        <f t="shared" ref="A106:B106" si="85">+A79</f>
        <v>B2</v>
      </c>
      <c r="B106" s="593" t="str">
        <f t="shared" si="85"/>
        <v>Felhalmozási célú tám-ok államházt-on belülről</v>
      </c>
      <c r="C106" s="824"/>
      <c r="D106" s="647"/>
      <c r="E106" s="647"/>
      <c r="F106" s="837"/>
      <c r="G106" s="647"/>
      <c r="H106" s="824"/>
      <c r="I106" s="647"/>
      <c r="J106" s="775"/>
      <c r="K106" s="647"/>
      <c r="L106" s="838">
        <f t="shared" si="58"/>
        <v>0</v>
      </c>
      <c r="M106" s="838">
        <f t="shared" si="59"/>
        <v>0</v>
      </c>
      <c r="N106" s="839">
        <f t="shared" si="60"/>
        <v>0</v>
      </c>
      <c r="O106" s="647"/>
      <c r="P106" s="824"/>
      <c r="Q106" s="647"/>
      <c r="R106" s="647"/>
      <c r="S106" s="647"/>
      <c r="T106" s="840">
        <f t="shared" si="84"/>
        <v>0</v>
      </c>
      <c r="U106" s="494"/>
      <c r="V106" s="494"/>
    </row>
    <row r="107" spans="1:22" x14ac:dyDescent="0.25">
      <c r="A107" s="836" t="str">
        <f t="shared" ref="A107:B107" si="86">+A80</f>
        <v>B3</v>
      </c>
      <c r="B107" s="593" t="str">
        <f t="shared" si="86"/>
        <v>Közhatalmi bevételek</v>
      </c>
      <c r="C107" s="824"/>
      <c r="D107" s="647"/>
      <c r="E107" s="647"/>
      <c r="F107" s="837"/>
      <c r="G107" s="647"/>
      <c r="H107" s="824"/>
      <c r="I107" s="647"/>
      <c r="J107" s="775"/>
      <c r="K107" s="647"/>
      <c r="L107" s="838">
        <f t="shared" si="58"/>
        <v>0</v>
      </c>
      <c r="M107" s="838">
        <f t="shared" si="59"/>
        <v>0</v>
      </c>
      <c r="N107" s="839">
        <f t="shared" si="60"/>
        <v>0</v>
      </c>
      <c r="O107" s="647"/>
      <c r="P107" s="824"/>
      <c r="Q107" s="647"/>
      <c r="R107" s="647"/>
      <c r="S107" s="647"/>
      <c r="T107" s="840">
        <f t="shared" si="84"/>
        <v>0</v>
      </c>
      <c r="U107" s="494"/>
      <c r="V107" s="494"/>
    </row>
    <row r="108" spans="1:22" x14ac:dyDescent="0.25">
      <c r="A108" s="836" t="str">
        <f t="shared" ref="A108:B108" si="87">+A81</f>
        <v>B4</v>
      </c>
      <c r="B108" s="593" t="str">
        <f t="shared" si="87"/>
        <v>Működési bevételek</v>
      </c>
      <c r="C108" s="824">
        <f>+'6. Gólyahír'!C95</f>
        <v>3734000</v>
      </c>
      <c r="D108" s="647">
        <f>+'6. Gólyahír'!D95</f>
        <v>3734000</v>
      </c>
      <c r="E108" s="647">
        <f>+'6. Gólyahír'!E95</f>
        <v>3734000</v>
      </c>
      <c r="F108" s="837">
        <f>+'6. Gólyahír'!F95</f>
        <v>1417906</v>
      </c>
      <c r="G108" s="647"/>
      <c r="H108" s="824">
        <f>+'6. Gólyahír'!H95</f>
        <v>1548085</v>
      </c>
      <c r="I108" s="647">
        <f>+'6. Gólyahír'!I95</f>
        <v>2538122</v>
      </c>
      <c r="J108" s="775">
        <f>+'6. Gólyahír'!J95</f>
        <v>3763232</v>
      </c>
      <c r="K108" s="647"/>
      <c r="L108" s="838">
        <f t="shared" si="58"/>
        <v>0.41459159078735941</v>
      </c>
      <c r="M108" s="838">
        <f t="shared" si="59"/>
        <v>0.67973272629887516</v>
      </c>
      <c r="N108" s="839">
        <f t="shared" si="60"/>
        <v>2.654077209631668</v>
      </c>
      <c r="O108" s="647"/>
      <c r="P108" s="824">
        <f>+'6. Gólyahír'!P95</f>
        <v>0</v>
      </c>
      <c r="Q108" s="647">
        <f>+'6. Gólyahír'!Q95</f>
        <v>0</v>
      </c>
      <c r="R108" s="647">
        <f>+'6. Gólyahír'!R95</f>
        <v>-2316094</v>
      </c>
      <c r="S108" s="647">
        <f>+'6. Gólyahír'!S95</f>
        <v>-2316094</v>
      </c>
      <c r="T108" s="840">
        <f t="shared" si="84"/>
        <v>-0.62027155865024108</v>
      </c>
      <c r="U108" s="494"/>
      <c r="V108" s="494"/>
    </row>
    <row r="109" spans="1:22" x14ac:dyDescent="0.25">
      <c r="A109" s="836" t="str">
        <f t="shared" ref="A109:B109" si="88">+A82</f>
        <v>B5</v>
      </c>
      <c r="B109" s="593" t="str">
        <f t="shared" si="88"/>
        <v>Felhalmozási bevételek</v>
      </c>
      <c r="C109" s="824"/>
      <c r="D109" s="647"/>
      <c r="E109" s="647"/>
      <c r="F109" s="837"/>
      <c r="G109" s="647"/>
      <c r="H109" s="824"/>
      <c r="I109" s="647"/>
      <c r="J109" s="775"/>
      <c r="K109" s="647"/>
      <c r="L109" s="838">
        <f t="shared" si="58"/>
        <v>0</v>
      </c>
      <c r="M109" s="838">
        <f t="shared" si="59"/>
        <v>0</v>
      </c>
      <c r="N109" s="839">
        <f t="shared" si="60"/>
        <v>0</v>
      </c>
      <c r="O109" s="647"/>
      <c r="P109" s="824"/>
      <c r="Q109" s="647"/>
      <c r="R109" s="647"/>
      <c r="S109" s="647"/>
      <c r="T109" s="840">
        <f t="shared" si="84"/>
        <v>0</v>
      </c>
      <c r="U109" s="494"/>
      <c r="V109" s="494"/>
    </row>
    <row r="110" spans="1:22" x14ac:dyDescent="0.25">
      <c r="A110" s="836" t="str">
        <f t="shared" ref="A110:B110" si="89">+A83</f>
        <v>B6</v>
      </c>
      <c r="B110" s="593" t="str">
        <f t="shared" si="89"/>
        <v>Működési célú átvett pénzeszközök</v>
      </c>
      <c r="C110" s="824"/>
      <c r="D110" s="647"/>
      <c r="E110" s="647"/>
      <c r="F110" s="837"/>
      <c r="G110" s="647"/>
      <c r="H110" s="824"/>
      <c r="I110" s="647"/>
      <c r="J110" s="775"/>
      <c r="K110" s="647"/>
      <c r="L110" s="838">
        <f t="shared" si="58"/>
        <v>0</v>
      </c>
      <c r="M110" s="838">
        <f t="shared" si="59"/>
        <v>0</v>
      </c>
      <c r="N110" s="839">
        <f t="shared" si="60"/>
        <v>0</v>
      </c>
      <c r="O110" s="647"/>
      <c r="P110" s="824"/>
      <c r="Q110" s="647"/>
      <c r="R110" s="647"/>
      <c r="S110" s="647"/>
      <c r="T110" s="840">
        <f t="shared" si="84"/>
        <v>0</v>
      </c>
      <c r="U110" s="494"/>
      <c r="V110" s="494"/>
    </row>
    <row r="111" spans="1:22" x14ac:dyDescent="0.25">
      <c r="A111" s="836" t="str">
        <f t="shared" ref="A111:B111" si="90">+A84</f>
        <v>B7</v>
      </c>
      <c r="B111" s="593" t="str">
        <f t="shared" si="90"/>
        <v>Felhalmozási célú átvett pénzeszközök</v>
      </c>
      <c r="C111" s="824"/>
      <c r="D111" s="647"/>
      <c r="E111" s="647"/>
      <c r="F111" s="837"/>
      <c r="G111" s="647"/>
      <c r="H111" s="824"/>
      <c r="I111" s="647"/>
      <c r="J111" s="775"/>
      <c r="K111" s="647"/>
      <c r="L111" s="838">
        <f t="shared" si="58"/>
        <v>0</v>
      </c>
      <c r="M111" s="838">
        <f t="shared" si="59"/>
        <v>0</v>
      </c>
      <c r="N111" s="839">
        <f t="shared" si="60"/>
        <v>0</v>
      </c>
      <c r="O111" s="647"/>
      <c r="P111" s="824"/>
      <c r="Q111" s="647"/>
      <c r="R111" s="647"/>
      <c r="S111" s="647"/>
      <c r="T111" s="840">
        <f t="shared" si="84"/>
        <v>0</v>
      </c>
      <c r="U111" s="494"/>
      <c r="V111" s="494"/>
    </row>
    <row r="112" spans="1:22" x14ac:dyDescent="0.25">
      <c r="A112" s="836" t="str">
        <f t="shared" ref="A112" si="91">+A85</f>
        <v>B8-ból maradványértéken túli finanszírozási bevételek</v>
      </c>
      <c r="B112" s="593"/>
      <c r="C112" s="824">
        <f>+'6. Gólyahír'!C99-C113</f>
        <v>50869358</v>
      </c>
      <c r="D112" s="647">
        <f>+'6. Gólyahír'!D99-D113</f>
        <v>50869358</v>
      </c>
      <c r="E112" s="647">
        <f>+'6. Gólyahír'!E99-E113</f>
        <v>50869358</v>
      </c>
      <c r="F112" s="837">
        <f>+'6. Gólyahír'!F99-F113</f>
        <v>53185452</v>
      </c>
      <c r="G112" s="647"/>
      <c r="H112" s="824">
        <f>+'6. Gólyahír'!H99-H113</f>
        <v>26320166</v>
      </c>
      <c r="I112" s="647">
        <f>+'6. Gólyahír'!I99-I113</f>
        <v>38666345</v>
      </c>
      <c r="J112" s="775">
        <f>+'6. Gólyahír'!J99-J113</f>
        <v>53185452</v>
      </c>
      <c r="K112" s="647"/>
      <c r="L112" s="838">
        <f t="shared" si="58"/>
        <v>0.51740708030952542</v>
      </c>
      <c r="M112" s="838">
        <f t="shared" si="59"/>
        <v>0.76011073306645627</v>
      </c>
      <c r="N112" s="839">
        <f t="shared" si="60"/>
        <v>1</v>
      </c>
      <c r="O112" s="647"/>
      <c r="P112" s="824">
        <f>+'6. Gólyahír'!P99-P113</f>
        <v>0</v>
      </c>
      <c r="Q112" s="647">
        <f>+'6. Gólyahír'!Q99-Q113</f>
        <v>0</v>
      </c>
      <c r="R112" s="647">
        <f>+'6. Gólyahír'!R99-R113</f>
        <v>2316094</v>
      </c>
      <c r="S112" s="647">
        <f>+'6. Gólyahír'!S99-S113</f>
        <v>2316094</v>
      </c>
      <c r="T112" s="840">
        <f t="shared" si="84"/>
        <v>4.5530238459073925E-2</v>
      </c>
      <c r="U112" s="494"/>
      <c r="V112" s="494"/>
    </row>
    <row r="113" spans="1:22" x14ac:dyDescent="0.25">
      <c r="A113" s="836" t="str">
        <f t="shared" ref="A113" si="92">+A86</f>
        <v>B8-ból előző évi mardvány igénybevétele</v>
      </c>
      <c r="B113" s="593"/>
      <c r="C113" s="824">
        <f>+'6. Gólyahír'!C101</f>
        <v>2395642</v>
      </c>
      <c r="D113" s="647">
        <f>+'6. Gólyahír'!D101</f>
        <v>2395642</v>
      </c>
      <c r="E113" s="647">
        <f>+'6. Gólyahír'!E101</f>
        <v>2395642</v>
      </c>
      <c r="F113" s="837">
        <f>+'6. Gólyahír'!F101</f>
        <v>2395642</v>
      </c>
      <c r="G113" s="647"/>
      <c r="H113" s="824">
        <f>+'6. Gólyahír'!H101</f>
        <v>2395642</v>
      </c>
      <c r="I113" s="647">
        <f>+'6. Gólyahír'!I101</f>
        <v>2395642</v>
      </c>
      <c r="J113" s="775">
        <f>+'6. Gólyahír'!J101</f>
        <v>2395642</v>
      </c>
      <c r="K113" s="647"/>
      <c r="L113" s="838">
        <f t="shared" si="58"/>
        <v>1</v>
      </c>
      <c r="M113" s="838">
        <f t="shared" si="59"/>
        <v>1</v>
      </c>
      <c r="N113" s="839">
        <f t="shared" si="60"/>
        <v>1</v>
      </c>
      <c r="O113" s="647"/>
      <c r="P113" s="824">
        <f>+'6. Gólyahír'!P101</f>
        <v>0</v>
      </c>
      <c r="Q113" s="647">
        <f>+'6. Gólyahír'!Q101</f>
        <v>0</v>
      </c>
      <c r="R113" s="647">
        <f>+'6. Gólyahír'!R101</f>
        <v>0</v>
      </c>
      <c r="S113" s="647">
        <f>+'6. Gólyahír'!S101</f>
        <v>0</v>
      </c>
      <c r="T113" s="840">
        <f t="shared" si="84"/>
        <v>0</v>
      </c>
      <c r="U113" s="494"/>
      <c r="V113" s="494"/>
    </row>
    <row r="114" spans="1:22" x14ac:dyDescent="0.25">
      <c r="A114" s="856"/>
      <c r="B114" s="843" t="s">
        <v>379</v>
      </c>
      <c r="C114" s="844">
        <f>SUM(C105:C113)</f>
        <v>56999000</v>
      </c>
      <c r="D114" s="845">
        <f t="shared" ref="D114" si="93">SUM(D105:D113)</f>
        <v>56999000</v>
      </c>
      <c r="E114" s="845">
        <f t="shared" ref="E114" si="94">SUM(E105:E113)</f>
        <v>56999000</v>
      </c>
      <c r="F114" s="846">
        <f t="shared" ref="F114" si="95">SUM(F105:F113)</f>
        <v>56999000</v>
      </c>
      <c r="G114" s="845"/>
      <c r="H114" s="844">
        <f t="shared" ref="H114" si="96">SUM(H105:H113)</f>
        <v>30263893</v>
      </c>
      <c r="I114" s="845">
        <f t="shared" ref="I114" si="97">SUM(I105:I113)</f>
        <v>43600109</v>
      </c>
      <c r="J114" s="847">
        <f t="shared" ref="J114" si="98">SUM(J105:J113)</f>
        <v>59344326</v>
      </c>
      <c r="K114" s="857"/>
      <c r="L114" s="858">
        <f t="shared" si="58"/>
        <v>0.53095480622467062</v>
      </c>
      <c r="M114" s="858">
        <f t="shared" si="59"/>
        <v>0.76492761276513621</v>
      </c>
      <c r="N114" s="859">
        <f t="shared" si="60"/>
        <v>1.0411467920489834</v>
      </c>
      <c r="O114" s="857"/>
      <c r="P114" s="844">
        <f t="shared" ref="P114" si="99">SUM(P105:P113)</f>
        <v>0</v>
      </c>
      <c r="Q114" s="845">
        <f t="shared" ref="Q114" si="100">SUM(Q105:Q113)</f>
        <v>0</v>
      </c>
      <c r="R114" s="845">
        <f t="shared" ref="R114" si="101">SUM(R105:R113)</f>
        <v>0</v>
      </c>
      <c r="S114" s="847">
        <f t="shared" ref="S114" si="102">SUM(S105:S113)</f>
        <v>0</v>
      </c>
      <c r="T114" s="851">
        <f t="shared" si="84"/>
        <v>0</v>
      </c>
      <c r="U114" s="494"/>
      <c r="V114" s="494"/>
    </row>
    <row r="115" spans="1:22" x14ac:dyDescent="0.25">
      <c r="A115" s="860"/>
      <c r="B115" s="647"/>
      <c r="C115" s="824"/>
      <c r="D115" s="647"/>
      <c r="E115" s="647"/>
      <c r="F115" s="837"/>
      <c r="G115" s="647"/>
      <c r="H115" s="824"/>
      <c r="I115" s="647"/>
      <c r="J115" s="775"/>
      <c r="K115" s="647"/>
      <c r="L115" s="838"/>
      <c r="M115" s="838"/>
      <c r="N115" s="839"/>
      <c r="O115" s="647"/>
      <c r="P115" s="824"/>
      <c r="Q115" s="647"/>
      <c r="R115" s="647"/>
      <c r="S115" s="647"/>
      <c r="T115" s="861"/>
      <c r="U115" s="494"/>
      <c r="V115" s="494"/>
    </row>
    <row r="116" spans="1:22" ht="13.8" thickBot="1" x14ac:dyDescent="0.3">
      <c r="A116" s="862"/>
      <c r="B116" s="863" t="s">
        <v>463</v>
      </c>
      <c r="C116" s="864">
        <f>+C114-C103</f>
        <v>0</v>
      </c>
      <c r="D116" s="865">
        <f>+D114-D103</f>
        <v>0</v>
      </c>
      <c r="E116" s="865">
        <f>+E114-E103</f>
        <v>0</v>
      </c>
      <c r="F116" s="866">
        <f>+F114-F103</f>
        <v>0</v>
      </c>
      <c r="G116" s="865"/>
      <c r="H116" s="864">
        <f>+H114-H103</f>
        <v>4246135</v>
      </c>
      <c r="I116" s="865">
        <f>+I114-I103</f>
        <v>3240505</v>
      </c>
      <c r="J116" s="867">
        <f>+J114-J103</f>
        <v>2656361</v>
      </c>
      <c r="K116" s="868"/>
      <c r="L116" s="869">
        <f t="shared" si="58"/>
        <v>0</v>
      </c>
      <c r="M116" s="869">
        <f t="shared" si="59"/>
        <v>0</v>
      </c>
      <c r="N116" s="870">
        <f t="shared" si="60"/>
        <v>0</v>
      </c>
      <c r="O116" s="868"/>
      <c r="P116" s="864">
        <f>+P114-P103</f>
        <v>0</v>
      </c>
      <c r="Q116" s="865">
        <f>+Q114-Q103</f>
        <v>0</v>
      </c>
      <c r="R116" s="865">
        <f>+R114-R103</f>
        <v>0</v>
      </c>
      <c r="S116" s="867">
        <f>+S114-S103</f>
        <v>0</v>
      </c>
      <c r="T116" s="878">
        <f>IF(C116=0,0,S116/C116)</f>
        <v>0</v>
      </c>
      <c r="U116" s="494"/>
      <c r="V116" s="494"/>
    </row>
    <row r="117" spans="1:22" x14ac:dyDescent="0.25">
      <c r="A117" s="593"/>
      <c r="B117" s="593"/>
      <c r="C117" s="860"/>
      <c r="D117" s="653"/>
      <c r="E117" s="653"/>
      <c r="F117" s="877"/>
      <c r="G117" s="653"/>
      <c r="H117" s="860"/>
      <c r="I117" s="653"/>
      <c r="J117" s="797"/>
      <c r="K117" s="653"/>
      <c r="L117" s="838"/>
      <c r="M117" s="838"/>
      <c r="N117" s="839"/>
      <c r="O117" s="653"/>
      <c r="P117" s="860"/>
      <c r="Q117" s="593"/>
      <c r="R117" s="593"/>
      <c r="S117" s="593"/>
      <c r="T117" s="861"/>
      <c r="U117" s="494"/>
      <c r="V117" s="494"/>
    </row>
    <row r="118" spans="1:22" ht="13.8" thickBot="1" x14ac:dyDescent="0.3">
      <c r="A118" s="593"/>
      <c r="B118" s="593"/>
      <c r="C118" s="860"/>
      <c r="D118" s="653"/>
      <c r="E118" s="653"/>
      <c r="F118" s="877"/>
      <c r="G118" s="653"/>
      <c r="H118" s="860"/>
      <c r="I118" s="653"/>
      <c r="J118" s="797"/>
      <c r="K118" s="653"/>
      <c r="L118" s="838"/>
      <c r="M118" s="838"/>
      <c r="N118" s="839"/>
      <c r="O118" s="653"/>
      <c r="P118" s="860"/>
      <c r="Q118" s="593"/>
      <c r="R118" s="593"/>
      <c r="S118" s="593"/>
      <c r="T118" s="861"/>
      <c r="U118" s="494"/>
      <c r="V118" s="494"/>
    </row>
    <row r="119" spans="1:22" ht="18" thickBot="1" x14ac:dyDescent="0.3">
      <c r="A119" s="821" t="s">
        <v>460</v>
      </c>
      <c r="B119" s="882"/>
      <c r="C119" s="860"/>
      <c r="D119" s="653"/>
      <c r="E119" s="653"/>
      <c r="F119" s="877"/>
      <c r="G119" s="653"/>
      <c r="H119" s="860"/>
      <c r="I119" s="653"/>
      <c r="J119" s="797"/>
      <c r="K119" s="653"/>
      <c r="L119" s="838"/>
      <c r="M119" s="838"/>
      <c r="N119" s="839"/>
      <c r="O119" s="653"/>
      <c r="P119" s="860"/>
      <c r="Q119" s="593"/>
      <c r="R119" s="593"/>
      <c r="S119" s="593"/>
      <c r="T119" s="861"/>
      <c r="U119" s="494"/>
      <c r="V119" s="494"/>
    </row>
    <row r="120" spans="1:22" x14ac:dyDescent="0.25">
      <c r="A120" s="827"/>
      <c r="B120" s="828"/>
      <c r="C120" s="827"/>
      <c r="D120" s="883"/>
      <c r="E120" s="883"/>
      <c r="F120" s="884"/>
      <c r="G120" s="883"/>
      <c r="H120" s="827"/>
      <c r="I120" s="883"/>
      <c r="J120" s="833"/>
      <c r="K120" s="883"/>
      <c r="L120" s="874"/>
      <c r="M120" s="874"/>
      <c r="N120" s="875"/>
      <c r="O120" s="883"/>
      <c r="P120" s="827"/>
      <c r="Q120" s="828"/>
      <c r="R120" s="828"/>
      <c r="S120" s="828"/>
      <c r="T120" s="876"/>
      <c r="U120" s="494"/>
      <c r="V120" s="494"/>
    </row>
    <row r="121" spans="1:22" x14ac:dyDescent="0.25">
      <c r="A121" s="836" t="s">
        <v>0</v>
      </c>
      <c r="B121" s="655" t="str">
        <f t="shared" ref="B121:B129" si="103">+B94</f>
        <v>Személyi juttatások</v>
      </c>
      <c r="C121" s="824">
        <f>+'7. Polg.Hiv.'!C13</f>
        <v>96264900</v>
      </c>
      <c r="D121" s="647">
        <f>+'7. Polg.Hiv.'!D13</f>
        <v>97206500</v>
      </c>
      <c r="E121" s="647">
        <f>+'7. Polg.Hiv.'!E13</f>
        <v>97206500</v>
      </c>
      <c r="F121" s="837">
        <f>+'7. Polg.Hiv.'!F13</f>
        <v>95856500</v>
      </c>
      <c r="G121" s="647"/>
      <c r="H121" s="824">
        <f>+'7. Polg.Hiv.'!H13</f>
        <v>45938363</v>
      </c>
      <c r="I121" s="647">
        <f>+'7. Polg.Hiv.'!I13</f>
        <v>69087844</v>
      </c>
      <c r="J121" s="775">
        <f>+'7. Polg.Hiv.'!J13</f>
        <v>94926606</v>
      </c>
      <c r="K121" s="647"/>
      <c r="L121" s="838">
        <f t="shared" si="58"/>
        <v>0.47258530036571628</v>
      </c>
      <c r="M121" s="838">
        <f t="shared" si="59"/>
        <v>0.71073275964055904</v>
      </c>
      <c r="N121" s="839">
        <f t="shared" si="60"/>
        <v>0.99029910334719085</v>
      </c>
      <c r="O121" s="647"/>
      <c r="P121" s="824">
        <f>+'7. Polg.Hiv.'!P13</f>
        <v>941600</v>
      </c>
      <c r="Q121" s="647">
        <f>+'7. Polg.Hiv.'!Q13</f>
        <v>0</v>
      </c>
      <c r="R121" s="647">
        <f>+'7. Polg.Hiv.'!R13</f>
        <v>-1350000</v>
      </c>
      <c r="S121" s="647">
        <f>+'7. Polg.Hiv.'!S13</f>
        <v>-408400</v>
      </c>
      <c r="T121" s="840">
        <f t="shared" ref="T121:T130" si="104">IF(C121=0,0,S121/C121)</f>
        <v>-4.2424601282502758E-3</v>
      </c>
      <c r="U121" s="494"/>
      <c r="V121" s="494"/>
    </row>
    <row r="122" spans="1:22" x14ac:dyDescent="0.25">
      <c r="A122" s="836" t="s">
        <v>27</v>
      </c>
      <c r="B122" s="655" t="str">
        <f t="shared" si="103"/>
        <v>Munkaadót terhelő járulékok és szociális hozzájárulás</v>
      </c>
      <c r="C122" s="824">
        <f>+'7. Polg.Hiv.'!C29</f>
        <v>18584000</v>
      </c>
      <c r="D122" s="647">
        <f>+'7. Polg.Hiv.'!D29</f>
        <v>18584000</v>
      </c>
      <c r="E122" s="647">
        <f>+'7. Polg.Hiv.'!E29</f>
        <v>18584000</v>
      </c>
      <c r="F122" s="837">
        <f>+'7. Polg.Hiv.'!F29</f>
        <v>19934000</v>
      </c>
      <c r="G122" s="647"/>
      <c r="H122" s="824">
        <f>+'7. Polg.Hiv.'!H29</f>
        <v>10686574</v>
      </c>
      <c r="I122" s="647">
        <f>+'7. Polg.Hiv.'!I29</f>
        <v>15377304</v>
      </c>
      <c r="J122" s="775">
        <f>+'7. Polg.Hiv.'!J29</f>
        <v>19930824</v>
      </c>
      <c r="K122" s="647"/>
      <c r="L122" s="838">
        <f t="shared" si="58"/>
        <v>0.57504164873009045</v>
      </c>
      <c r="M122" s="838">
        <f t="shared" si="59"/>
        <v>0.82744855789926819</v>
      </c>
      <c r="N122" s="839">
        <f t="shared" si="60"/>
        <v>0.99984067422494227</v>
      </c>
      <c r="O122" s="647"/>
      <c r="P122" s="824">
        <f>+'7. Polg.Hiv.'!P29</f>
        <v>0</v>
      </c>
      <c r="Q122" s="647">
        <f>+'7. Polg.Hiv.'!Q29</f>
        <v>0</v>
      </c>
      <c r="R122" s="647">
        <f>+'7. Polg.Hiv.'!R29</f>
        <v>1350000</v>
      </c>
      <c r="S122" s="647">
        <f>+'7. Polg.Hiv.'!S29</f>
        <v>1350000</v>
      </c>
      <c r="T122" s="840">
        <f t="shared" si="104"/>
        <v>7.2643133878605257E-2</v>
      </c>
      <c r="U122" s="494"/>
      <c r="V122" s="494"/>
    </row>
    <row r="123" spans="1:22" x14ac:dyDescent="0.25">
      <c r="A123" s="836" t="s">
        <v>30</v>
      </c>
      <c r="B123" s="655" t="str">
        <f t="shared" si="103"/>
        <v>Dologi kiadások</v>
      </c>
      <c r="C123" s="824">
        <f>+'7. Polg.Hiv.'!C32</f>
        <v>11532000</v>
      </c>
      <c r="D123" s="647">
        <f>+'7. Polg.Hiv.'!D32</f>
        <v>11532000</v>
      </c>
      <c r="E123" s="647">
        <f>+'7. Polg.Hiv.'!E32</f>
        <v>11122000</v>
      </c>
      <c r="F123" s="837">
        <f>+'7. Polg.Hiv.'!F32</f>
        <v>10625202</v>
      </c>
      <c r="G123" s="647"/>
      <c r="H123" s="824">
        <f>+'7. Polg.Hiv.'!H32</f>
        <v>4243117</v>
      </c>
      <c r="I123" s="647">
        <f>+'7. Polg.Hiv.'!I32</f>
        <v>6915450</v>
      </c>
      <c r="J123" s="775">
        <f>+'7. Polg.Hiv.'!J32</f>
        <v>9325195</v>
      </c>
      <c r="K123" s="647"/>
      <c r="L123" s="838">
        <f t="shared" si="58"/>
        <v>0.36794285466527921</v>
      </c>
      <c r="M123" s="838">
        <f t="shared" si="59"/>
        <v>0.6217811544686207</v>
      </c>
      <c r="N123" s="839">
        <f t="shared" si="60"/>
        <v>0.87764872611363054</v>
      </c>
      <c r="O123" s="647"/>
      <c r="P123" s="824">
        <f>+'7. Polg.Hiv.'!P32</f>
        <v>0</v>
      </c>
      <c r="Q123" s="647">
        <f>+'7. Polg.Hiv.'!Q32</f>
        <v>-410000</v>
      </c>
      <c r="R123" s="647">
        <f>+'7. Polg.Hiv.'!R32</f>
        <v>-496798</v>
      </c>
      <c r="S123" s="647">
        <f>+'7. Polg.Hiv.'!S32</f>
        <v>-906798</v>
      </c>
      <c r="T123" s="840">
        <f t="shared" si="104"/>
        <v>-7.8633194588969821E-2</v>
      </c>
      <c r="U123" s="494"/>
      <c r="V123" s="494"/>
    </row>
    <row r="124" spans="1:22" x14ac:dyDescent="0.25">
      <c r="A124" s="836" t="s">
        <v>112</v>
      </c>
      <c r="B124" s="655" t="str">
        <f t="shared" si="103"/>
        <v>Elláttotak pénzbeli juttatásai</v>
      </c>
      <c r="C124" s="824"/>
      <c r="D124" s="647"/>
      <c r="E124" s="647"/>
      <c r="F124" s="837"/>
      <c r="G124" s="647"/>
      <c r="H124" s="824"/>
      <c r="I124" s="647"/>
      <c r="J124" s="775"/>
      <c r="K124" s="647"/>
      <c r="L124" s="838">
        <f t="shared" si="58"/>
        <v>0</v>
      </c>
      <c r="M124" s="838">
        <f t="shared" si="59"/>
        <v>0</v>
      </c>
      <c r="N124" s="839">
        <f t="shared" si="60"/>
        <v>0</v>
      </c>
      <c r="O124" s="647"/>
      <c r="P124" s="824"/>
      <c r="Q124" s="647"/>
      <c r="R124" s="647"/>
      <c r="S124" s="647"/>
      <c r="T124" s="840">
        <f t="shared" si="104"/>
        <v>0</v>
      </c>
      <c r="U124" s="494"/>
      <c r="V124" s="494"/>
    </row>
    <row r="125" spans="1:22" x14ac:dyDescent="0.25">
      <c r="A125" s="841" t="s">
        <v>378</v>
      </c>
      <c r="B125" s="655" t="str">
        <f t="shared" si="103"/>
        <v>Egyéb működési célú kiadások</v>
      </c>
      <c r="C125" s="824"/>
      <c r="D125" s="647"/>
      <c r="E125" s="647"/>
      <c r="F125" s="837"/>
      <c r="G125" s="647"/>
      <c r="H125" s="824"/>
      <c r="I125" s="647"/>
      <c r="J125" s="775"/>
      <c r="K125" s="647"/>
      <c r="L125" s="838">
        <f t="shared" si="58"/>
        <v>0</v>
      </c>
      <c r="M125" s="838">
        <f t="shared" si="59"/>
        <v>0</v>
      </c>
      <c r="N125" s="839">
        <f t="shared" si="60"/>
        <v>0</v>
      </c>
      <c r="O125" s="647"/>
      <c r="P125" s="824"/>
      <c r="Q125" s="647"/>
      <c r="R125" s="647"/>
      <c r="S125" s="647"/>
      <c r="T125" s="840">
        <f t="shared" si="104"/>
        <v>0</v>
      </c>
      <c r="U125" s="494"/>
      <c r="V125" s="494"/>
    </row>
    <row r="126" spans="1:22" x14ac:dyDescent="0.25">
      <c r="A126" s="836" t="s">
        <v>159</v>
      </c>
      <c r="B126" s="665" t="str">
        <f t="shared" si="103"/>
        <v>Beruházások</v>
      </c>
      <c r="C126" s="824">
        <f>+'7. Polg.Hiv.'!C83</f>
        <v>1000000</v>
      </c>
      <c r="D126" s="647">
        <f>+'7. Polg.Hiv.'!D83</f>
        <v>1000000</v>
      </c>
      <c r="E126" s="647">
        <f>+'7. Polg.Hiv.'!E83</f>
        <v>1410000</v>
      </c>
      <c r="F126" s="837">
        <f>+'7. Polg.Hiv.'!F83</f>
        <v>1245000</v>
      </c>
      <c r="G126" s="647"/>
      <c r="H126" s="824">
        <f>+'7. Polg.Hiv.'!H83</f>
        <v>554835</v>
      </c>
      <c r="I126" s="647">
        <f>+'7. Polg.Hiv.'!I83</f>
        <v>554835</v>
      </c>
      <c r="J126" s="775">
        <f>+'7. Polg.Hiv.'!J83</f>
        <v>654195</v>
      </c>
      <c r="K126" s="647"/>
      <c r="L126" s="838">
        <f t="shared" si="58"/>
        <v>0.55483499999999997</v>
      </c>
      <c r="M126" s="838">
        <f t="shared" si="59"/>
        <v>0.39350000000000002</v>
      </c>
      <c r="N126" s="839">
        <f t="shared" si="60"/>
        <v>0.52545783132530122</v>
      </c>
      <c r="O126" s="647"/>
      <c r="P126" s="824">
        <f>+'7. Polg.Hiv.'!P83</f>
        <v>0</v>
      </c>
      <c r="Q126" s="647">
        <f>+'7. Polg.Hiv.'!Q83</f>
        <v>410000</v>
      </c>
      <c r="R126" s="647">
        <f>+'7. Polg.Hiv.'!R83</f>
        <v>-165000</v>
      </c>
      <c r="S126" s="647">
        <f>+'7. Polg.Hiv.'!S83</f>
        <v>245000</v>
      </c>
      <c r="T126" s="840">
        <f t="shared" si="104"/>
        <v>0.245</v>
      </c>
      <c r="U126" s="494"/>
      <c r="V126" s="494"/>
    </row>
    <row r="127" spans="1:22" x14ac:dyDescent="0.25">
      <c r="A127" s="836" t="s">
        <v>174</v>
      </c>
      <c r="B127" s="655" t="str">
        <f t="shared" si="103"/>
        <v>Felújítások</v>
      </c>
      <c r="C127" s="824">
        <f>+'7. Polg.Hiv.'!C86</f>
        <v>0</v>
      </c>
      <c r="D127" s="647">
        <f>+'7. Polg.Hiv.'!D86</f>
        <v>0</v>
      </c>
      <c r="E127" s="647">
        <f>+'7. Polg.Hiv.'!E86</f>
        <v>0</v>
      </c>
      <c r="F127" s="837">
        <f>+'7. Polg.Hiv.'!F86</f>
        <v>0</v>
      </c>
      <c r="G127" s="647"/>
      <c r="H127" s="824">
        <f>+'7. Polg.Hiv.'!H86</f>
        <v>0</v>
      </c>
      <c r="I127" s="647">
        <f>+'7. Polg.Hiv.'!I86</f>
        <v>0</v>
      </c>
      <c r="J127" s="775">
        <f>+'7. Polg.Hiv.'!J86</f>
        <v>0</v>
      </c>
      <c r="K127" s="647"/>
      <c r="L127" s="838">
        <f t="shared" si="58"/>
        <v>0</v>
      </c>
      <c r="M127" s="838">
        <f t="shared" si="59"/>
        <v>0</v>
      </c>
      <c r="N127" s="839">
        <f t="shared" si="60"/>
        <v>0</v>
      </c>
      <c r="O127" s="647"/>
      <c r="P127" s="824">
        <f>+'7. Polg.Hiv.'!P86</f>
        <v>0</v>
      </c>
      <c r="Q127" s="647">
        <f>+'7. Polg.Hiv.'!Q86</f>
        <v>0</v>
      </c>
      <c r="R127" s="647">
        <f>+'7. Polg.Hiv.'!R86</f>
        <v>0</v>
      </c>
      <c r="S127" s="647">
        <f>+'7. Polg.Hiv.'!S86</f>
        <v>0</v>
      </c>
      <c r="T127" s="840">
        <f t="shared" si="104"/>
        <v>0</v>
      </c>
      <c r="U127" s="494"/>
      <c r="V127" s="494"/>
    </row>
    <row r="128" spans="1:22" x14ac:dyDescent="0.25">
      <c r="A128" s="836" t="s">
        <v>184</v>
      </c>
      <c r="B128" s="655" t="str">
        <f t="shared" si="103"/>
        <v>Szolgáltatások kiadásai</v>
      </c>
      <c r="C128" s="824"/>
      <c r="D128" s="647"/>
      <c r="E128" s="647"/>
      <c r="F128" s="837"/>
      <c r="G128" s="647"/>
      <c r="H128" s="824"/>
      <c r="I128" s="647"/>
      <c r="J128" s="775"/>
      <c r="K128" s="647"/>
      <c r="L128" s="838">
        <f t="shared" si="58"/>
        <v>0</v>
      </c>
      <c r="M128" s="838">
        <f t="shared" si="59"/>
        <v>0</v>
      </c>
      <c r="N128" s="839">
        <f t="shared" si="60"/>
        <v>0</v>
      </c>
      <c r="O128" s="647"/>
      <c r="P128" s="824"/>
      <c r="Q128" s="647"/>
      <c r="R128" s="647"/>
      <c r="S128" s="647"/>
      <c r="T128" s="840">
        <f t="shared" si="104"/>
        <v>0</v>
      </c>
      <c r="U128" s="494"/>
      <c r="V128" s="494"/>
    </row>
    <row r="129" spans="1:22" x14ac:dyDescent="0.25">
      <c r="A129" s="836" t="s">
        <v>202</v>
      </c>
      <c r="B129" s="655" t="str">
        <f t="shared" si="103"/>
        <v>Finanszírozási kiadások</v>
      </c>
      <c r="C129" s="860"/>
      <c r="D129" s="653"/>
      <c r="E129" s="653"/>
      <c r="F129" s="877"/>
      <c r="G129" s="653"/>
      <c r="H129" s="860"/>
      <c r="I129" s="653"/>
      <c r="J129" s="797"/>
      <c r="K129" s="653"/>
      <c r="L129" s="838">
        <f t="shared" si="58"/>
        <v>0</v>
      </c>
      <c r="M129" s="838">
        <f t="shared" si="59"/>
        <v>0</v>
      </c>
      <c r="N129" s="839">
        <f t="shared" si="60"/>
        <v>0</v>
      </c>
      <c r="O129" s="653"/>
      <c r="P129" s="860"/>
      <c r="Q129" s="593"/>
      <c r="R129" s="593"/>
      <c r="S129" s="593"/>
      <c r="T129" s="840">
        <f t="shared" si="104"/>
        <v>0</v>
      </c>
      <c r="U129" s="494"/>
      <c r="V129" s="494"/>
    </row>
    <row r="130" spans="1:22" x14ac:dyDescent="0.25">
      <c r="A130" s="842"/>
      <c r="B130" s="843" t="s">
        <v>380</v>
      </c>
      <c r="C130" s="844">
        <f>SUM(C121:C129)</f>
        <v>127380900</v>
      </c>
      <c r="D130" s="845">
        <f t="shared" ref="D130" si="105">SUM(D121:D129)</f>
        <v>128322500</v>
      </c>
      <c r="E130" s="845">
        <f t="shared" ref="E130" si="106">SUM(E121:E129)</f>
        <v>128322500</v>
      </c>
      <c r="F130" s="846">
        <f t="shared" ref="F130" si="107">SUM(F121:F129)</f>
        <v>127660702</v>
      </c>
      <c r="G130" s="845"/>
      <c r="H130" s="844">
        <f t="shared" ref="H130" si="108">SUM(H121:H129)</f>
        <v>61422889</v>
      </c>
      <c r="I130" s="845">
        <f t="shared" ref="I130" si="109">SUM(I121:I129)</f>
        <v>91935433</v>
      </c>
      <c r="J130" s="847">
        <f t="shared" ref="J130" si="110">SUM(J121:J129)</f>
        <v>124836820</v>
      </c>
      <c r="K130" s="848"/>
      <c r="L130" s="849">
        <f t="shared" si="58"/>
        <v>0.47866032067642073</v>
      </c>
      <c r="M130" s="849">
        <f t="shared" si="59"/>
        <v>0.71644047614409012</v>
      </c>
      <c r="N130" s="850">
        <f t="shared" si="60"/>
        <v>0.97787978637310013</v>
      </c>
      <c r="O130" s="848"/>
      <c r="P130" s="844">
        <f t="shared" ref="P130" si="111">SUM(P121:P129)</f>
        <v>941600</v>
      </c>
      <c r="Q130" s="845">
        <f t="shared" ref="Q130" si="112">SUM(Q121:Q129)</f>
        <v>0</v>
      </c>
      <c r="R130" s="845">
        <f t="shared" ref="R130" si="113">SUM(R121:R129)</f>
        <v>-661798</v>
      </c>
      <c r="S130" s="847">
        <f t="shared" ref="S130" si="114">SUM(S121:S129)</f>
        <v>279802</v>
      </c>
      <c r="T130" s="851">
        <f t="shared" si="104"/>
        <v>2.1965773518635837E-3</v>
      </c>
      <c r="U130" s="494"/>
      <c r="V130" s="494"/>
    </row>
    <row r="131" spans="1:22" x14ac:dyDescent="0.25">
      <c r="A131" s="860"/>
      <c r="B131" s="593"/>
      <c r="C131" s="860"/>
      <c r="D131" s="653"/>
      <c r="E131" s="653"/>
      <c r="F131" s="877"/>
      <c r="G131" s="653"/>
      <c r="H131" s="860"/>
      <c r="I131" s="653"/>
      <c r="J131" s="797"/>
      <c r="K131" s="653"/>
      <c r="L131" s="838"/>
      <c r="M131" s="838"/>
      <c r="N131" s="839"/>
      <c r="O131" s="653"/>
      <c r="P131" s="860"/>
      <c r="Q131" s="593"/>
      <c r="R131" s="593"/>
      <c r="S131" s="593"/>
      <c r="T131" s="840"/>
      <c r="U131" s="494"/>
      <c r="V131" s="494"/>
    </row>
    <row r="132" spans="1:22" x14ac:dyDescent="0.25">
      <c r="A132" s="836" t="str">
        <f t="shared" ref="A132:B138" si="115">+A105</f>
        <v>B1</v>
      </c>
      <c r="B132" s="655" t="str">
        <f t="shared" si="115"/>
        <v>Működési célú tám-ok államháztartáson belülről</v>
      </c>
      <c r="C132" s="824">
        <f>+'7. Polg.Hiv.'!C93</f>
        <v>0</v>
      </c>
      <c r="D132" s="647">
        <f>+'7. Polg.Hiv.'!D93</f>
        <v>0</v>
      </c>
      <c r="E132" s="647">
        <f>+'7. Polg.Hiv.'!E93</f>
        <v>0</v>
      </c>
      <c r="F132" s="837">
        <f>+'7. Polg.Hiv.'!F93</f>
        <v>2275277</v>
      </c>
      <c r="G132" s="647"/>
      <c r="H132" s="824">
        <f>+'7. Polg.Hiv.'!H93</f>
        <v>2275277</v>
      </c>
      <c r="I132" s="647">
        <f>+'7. Polg.Hiv.'!I93</f>
        <v>2275277</v>
      </c>
      <c r="J132" s="775">
        <f>+'7. Polg.Hiv.'!J93</f>
        <v>2275277</v>
      </c>
      <c r="K132" s="647"/>
      <c r="L132" s="838">
        <f t="shared" si="58"/>
        <v>0</v>
      </c>
      <c r="M132" s="838">
        <f t="shared" si="59"/>
        <v>0</v>
      </c>
      <c r="N132" s="839">
        <f t="shared" si="60"/>
        <v>1</v>
      </c>
      <c r="O132" s="647"/>
      <c r="P132" s="824">
        <f>+'7. Polg.Hiv.'!P93</f>
        <v>0</v>
      </c>
      <c r="Q132" s="647">
        <f>+'7. Polg.Hiv.'!Q93</f>
        <v>0</v>
      </c>
      <c r="R132" s="647">
        <f>+'7. Polg.Hiv.'!R93</f>
        <v>2275277</v>
      </c>
      <c r="S132" s="647">
        <f>+'7. Polg.Hiv.'!S93</f>
        <v>2275277</v>
      </c>
      <c r="T132" s="840">
        <f t="shared" ref="T132:T141" si="116">IF(C132=0,0,S132/C132)</f>
        <v>0</v>
      </c>
      <c r="U132" s="494"/>
      <c r="V132" s="494"/>
    </row>
    <row r="133" spans="1:22" x14ac:dyDescent="0.25">
      <c r="A133" s="836" t="str">
        <f t="shared" si="115"/>
        <v>B2</v>
      </c>
      <c r="B133" s="655" t="str">
        <f t="shared" si="115"/>
        <v>Felhalmozási célú tám-ok államházt-on belülről</v>
      </c>
      <c r="C133" s="824"/>
      <c r="D133" s="647"/>
      <c r="E133" s="647"/>
      <c r="F133" s="837"/>
      <c r="G133" s="647"/>
      <c r="H133" s="824"/>
      <c r="I133" s="647"/>
      <c r="J133" s="775"/>
      <c r="K133" s="647"/>
      <c r="L133" s="838">
        <f t="shared" si="58"/>
        <v>0</v>
      </c>
      <c r="M133" s="838">
        <f t="shared" si="59"/>
        <v>0</v>
      </c>
      <c r="N133" s="839">
        <f t="shared" si="60"/>
        <v>0</v>
      </c>
      <c r="O133" s="647"/>
      <c r="P133" s="824"/>
      <c r="Q133" s="647"/>
      <c r="R133" s="647"/>
      <c r="S133" s="647"/>
      <c r="T133" s="840">
        <f t="shared" si="116"/>
        <v>0</v>
      </c>
      <c r="U133" s="494"/>
      <c r="V133" s="494"/>
    </row>
    <row r="134" spans="1:22" x14ac:dyDescent="0.25">
      <c r="A134" s="836" t="str">
        <f t="shared" si="115"/>
        <v>B3</v>
      </c>
      <c r="B134" s="655" t="str">
        <f t="shared" si="115"/>
        <v>Közhatalmi bevételek</v>
      </c>
      <c r="C134" s="824"/>
      <c r="D134" s="647"/>
      <c r="E134" s="647"/>
      <c r="F134" s="837"/>
      <c r="G134" s="647"/>
      <c r="H134" s="824"/>
      <c r="I134" s="647"/>
      <c r="J134" s="775"/>
      <c r="K134" s="647"/>
      <c r="L134" s="838">
        <f t="shared" si="58"/>
        <v>0</v>
      </c>
      <c r="M134" s="838">
        <f t="shared" si="59"/>
        <v>0</v>
      </c>
      <c r="N134" s="839">
        <f t="shared" si="60"/>
        <v>0</v>
      </c>
      <c r="O134" s="647"/>
      <c r="P134" s="824"/>
      <c r="Q134" s="647"/>
      <c r="R134" s="647"/>
      <c r="S134" s="647"/>
      <c r="T134" s="840">
        <f t="shared" si="116"/>
        <v>0</v>
      </c>
      <c r="U134" s="494"/>
      <c r="V134" s="494"/>
    </row>
    <row r="135" spans="1:22" x14ac:dyDescent="0.25">
      <c r="A135" s="836" t="str">
        <f t="shared" si="115"/>
        <v>B4</v>
      </c>
      <c r="B135" s="655" t="str">
        <f t="shared" si="115"/>
        <v>Működési bevételek</v>
      </c>
      <c r="C135" s="824">
        <f>+'7. Polg.Hiv.'!C95</f>
        <v>1000</v>
      </c>
      <c r="D135" s="647">
        <f>+'7. Polg.Hiv.'!D95</f>
        <v>1000</v>
      </c>
      <c r="E135" s="647">
        <f>+'7. Polg.Hiv.'!E95</f>
        <v>1000</v>
      </c>
      <c r="F135" s="837">
        <f>+'7. Polg.Hiv.'!F95</f>
        <v>1149239</v>
      </c>
      <c r="G135" s="647"/>
      <c r="H135" s="824">
        <f>+'7. Polg.Hiv.'!H95</f>
        <v>24498</v>
      </c>
      <c r="I135" s="647">
        <f>+'7. Polg.Hiv.'!I95</f>
        <v>363182</v>
      </c>
      <c r="J135" s="775">
        <f>+'7. Polg.Hiv.'!J95</f>
        <v>756240</v>
      </c>
      <c r="K135" s="647"/>
      <c r="L135" s="838">
        <f t="shared" si="58"/>
        <v>24.498000000000001</v>
      </c>
      <c r="M135" s="838">
        <f t="shared" si="59"/>
        <v>363.18200000000002</v>
      </c>
      <c r="N135" s="839">
        <f t="shared" si="60"/>
        <v>0.65803544780502576</v>
      </c>
      <c r="O135" s="647"/>
      <c r="P135" s="824">
        <f>+'7. Polg.Hiv.'!P95</f>
        <v>0</v>
      </c>
      <c r="Q135" s="647">
        <f>+'7. Polg.Hiv.'!Q95</f>
        <v>0</v>
      </c>
      <c r="R135" s="647">
        <f>+'7. Polg.Hiv.'!R95</f>
        <v>1148239</v>
      </c>
      <c r="S135" s="647">
        <f>+'7. Polg.Hiv.'!S95</f>
        <v>1148239</v>
      </c>
      <c r="T135" s="840">
        <f t="shared" si="116"/>
        <v>1148.239</v>
      </c>
      <c r="U135" s="494"/>
      <c r="V135" s="494"/>
    </row>
    <row r="136" spans="1:22" x14ac:dyDescent="0.25">
      <c r="A136" s="836" t="str">
        <f t="shared" si="115"/>
        <v>B5</v>
      </c>
      <c r="B136" s="655" t="str">
        <f t="shared" si="115"/>
        <v>Felhalmozási bevételek</v>
      </c>
      <c r="C136" s="824"/>
      <c r="D136" s="647"/>
      <c r="E136" s="647"/>
      <c r="F136" s="837"/>
      <c r="G136" s="647"/>
      <c r="H136" s="824"/>
      <c r="I136" s="647"/>
      <c r="J136" s="775"/>
      <c r="K136" s="647"/>
      <c r="L136" s="838">
        <f t="shared" si="58"/>
        <v>0</v>
      </c>
      <c r="M136" s="838">
        <f t="shared" si="59"/>
        <v>0</v>
      </c>
      <c r="N136" s="839">
        <f t="shared" si="60"/>
        <v>0</v>
      </c>
      <c r="O136" s="647"/>
      <c r="P136" s="824"/>
      <c r="Q136" s="647"/>
      <c r="R136" s="647"/>
      <c r="S136" s="647"/>
      <c r="T136" s="840">
        <f t="shared" si="116"/>
        <v>0</v>
      </c>
      <c r="U136" s="494"/>
      <c r="V136" s="494"/>
    </row>
    <row r="137" spans="1:22" x14ac:dyDescent="0.25">
      <c r="A137" s="836" t="str">
        <f t="shared" si="115"/>
        <v>B6</v>
      </c>
      <c r="B137" s="655" t="str">
        <f t="shared" si="115"/>
        <v>Működési célú átvett pénzeszközök</v>
      </c>
      <c r="C137" s="824"/>
      <c r="D137" s="647"/>
      <c r="E137" s="647"/>
      <c r="F137" s="837"/>
      <c r="G137" s="647"/>
      <c r="H137" s="824"/>
      <c r="I137" s="647"/>
      <c r="J137" s="775"/>
      <c r="K137" s="647"/>
      <c r="L137" s="838">
        <f t="shared" si="58"/>
        <v>0</v>
      </c>
      <c r="M137" s="838">
        <f t="shared" si="59"/>
        <v>0</v>
      </c>
      <c r="N137" s="839">
        <f t="shared" si="60"/>
        <v>0</v>
      </c>
      <c r="O137" s="647"/>
      <c r="P137" s="824"/>
      <c r="Q137" s="647"/>
      <c r="R137" s="647"/>
      <c r="S137" s="647"/>
      <c r="T137" s="840">
        <f t="shared" si="116"/>
        <v>0</v>
      </c>
      <c r="U137" s="494"/>
      <c r="V137" s="494"/>
    </row>
    <row r="138" spans="1:22" x14ac:dyDescent="0.25">
      <c r="A138" s="836" t="str">
        <f t="shared" si="115"/>
        <v>B7</v>
      </c>
      <c r="B138" s="655" t="str">
        <f t="shared" si="115"/>
        <v>Felhalmozási célú átvett pénzeszközök</v>
      </c>
      <c r="C138" s="824"/>
      <c r="D138" s="647"/>
      <c r="E138" s="647"/>
      <c r="F138" s="837"/>
      <c r="G138" s="647"/>
      <c r="H138" s="824"/>
      <c r="I138" s="647"/>
      <c r="J138" s="775"/>
      <c r="K138" s="647"/>
      <c r="L138" s="838">
        <f t="shared" si="58"/>
        <v>0</v>
      </c>
      <c r="M138" s="838">
        <f t="shared" si="59"/>
        <v>0</v>
      </c>
      <c r="N138" s="839">
        <f t="shared" si="60"/>
        <v>0</v>
      </c>
      <c r="O138" s="647"/>
      <c r="P138" s="824"/>
      <c r="Q138" s="647"/>
      <c r="R138" s="647"/>
      <c r="S138" s="647"/>
      <c r="T138" s="840">
        <f t="shared" si="116"/>
        <v>0</v>
      </c>
      <c r="U138" s="494"/>
      <c r="V138" s="494"/>
    </row>
    <row r="139" spans="1:22" x14ac:dyDescent="0.25">
      <c r="A139" s="836" t="str">
        <f>+A112</f>
        <v>B8-ból maradványértéken túli finanszírozási bevételek</v>
      </c>
      <c r="B139" s="655"/>
      <c r="C139" s="824">
        <f>+'7. Polg.Hiv.'!C99-C140</f>
        <v>125499790</v>
      </c>
      <c r="D139" s="647">
        <f>+'7. Polg.Hiv.'!D99-D140</f>
        <v>126441390</v>
      </c>
      <c r="E139" s="647">
        <f>+'7. Polg.Hiv.'!E99-E140</f>
        <v>126441390</v>
      </c>
      <c r="F139" s="837">
        <f>+'7. Polg.Hiv.'!F99-F140</f>
        <v>122356076</v>
      </c>
      <c r="G139" s="647"/>
      <c r="H139" s="824">
        <f>+'7. Polg.Hiv.'!H99-H140</f>
        <v>61801658</v>
      </c>
      <c r="I139" s="647">
        <f>+'7. Polg.Hiv.'!I99-I140</f>
        <v>91982568</v>
      </c>
      <c r="J139" s="775">
        <f>+'7. Polg.Hiv.'!J99-J140</f>
        <v>122356076</v>
      </c>
      <c r="K139" s="647"/>
      <c r="L139" s="838">
        <f t="shared" si="58"/>
        <v>0.48877711641733773</v>
      </c>
      <c r="M139" s="838">
        <f t="shared" si="59"/>
        <v>0.72747197733273894</v>
      </c>
      <c r="N139" s="839">
        <f t="shared" si="60"/>
        <v>1</v>
      </c>
      <c r="O139" s="647"/>
      <c r="P139" s="824">
        <f>+'7. Polg.Hiv.'!P99-P140</f>
        <v>941600</v>
      </c>
      <c r="Q139" s="647">
        <f>+'7. Polg.Hiv.'!Q99-Q140</f>
        <v>0</v>
      </c>
      <c r="R139" s="647">
        <f>+'7. Polg.Hiv.'!R99-R140</f>
        <v>-4085314</v>
      </c>
      <c r="S139" s="647">
        <f>+'7. Polg.Hiv.'!S99-S140</f>
        <v>-3143714</v>
      </c>
      <c r="T139" s="840">
        <f t="shared" si="116"/>
        <v>-2.5049555859814585E-2</v>
      </c>
      <c r="U139" s="494"/>
      <c r="V139" s="494"/>
    </row>
    <row r="140" spans="1:22" x14ac:dyDescent="0.25">
      <c r="A140" s="836" t="str">
        <f>+A113</f>
        <v>B8-ból előző évi mardvány igénybevétele</v>
      </c>
      <c r="B140" s="655"/>
      <c r="C140" s="824">
        <f>+'7. Polg.Hiv.'!C101</f>
        <v>1880110</v>
      </c>
      <c r="D140" s="647">
        <f>+'7. Polg.Hiv.'!D101</f>
        <v>1880110</v>
      </c>
      <c r="E140" s="647">
        <f>+'7. Polg.Hiv.'!E101</f>
        <v>1880110</v>
      </c>
      <c r="F140" s="837">
        <f>+'7. Polg.Hiv.'!F101</f>
        <v>1880110</v>
      </c>
      <c r="G140" s="647"/>
      <c r="H140" s="824">
        <f>+'7. Polg.Hiv.'!H101</f>
        <v>1880110</v>
      </c>
      <c r="I140" s="647">
        <f>+'7. Polg.Hiv.'!I101</f>
        <v>1880110</v>
      </c>
      <c r="J140" s="775">
        <f>+'7. Polg.Hiv.'!J101</f>
        <v>1880110</v>
      </c>
      <c r="K140" s="647"/>
      <c r="L140" s="838">
        <f t="shared" si="58"/>
        <v>1</v>
      </c>
      <c r="M140" s="838">
        <f t="shared" si="59"/>
        <v>1</v>
      </c>
      <c r="N140" s="839">
        <f t="shared" si="60"/>
        <v>1</v>
      </c>
      <c r="O140" s="647"/>
      <c r="P140" s="824">
        <f>+'7. Polg.Hiv.'!P101</f>
        <v>0</v>
      </c>
      <c r="Q140" s="647">
        <f>+'7. Polg.Hiv.'!Q101</f>
        <v>0</v>
      </c>
      <c r="R140" s="647">
        <f>+'7. Polg.Hiv.'!R101</f>
        <v>0</v>
      </c>
      <c r="S140" s="647">
        <f>+'7. Polg.Hiv.'!S101</f>
        <v>0</v>
      </c>
      <c r="T140" s="840">
        <f t="shared" si="116"/>
        <v>0</v>
      </c>
      <c r="U140" s="494"/>
      <c r="V140" s="494"/>
    </row>
    <row r="141" spans="1:22" x14ac:dyDescent="0.25">
      <c r="A141" s="856"/>
      <c r="B141" s="843" t="s">
        <v>379</v>
      </c>
      <c r="C141" s="844">
        <f>SUM(C132:C140)</f>
        <v>127380900</v>
      </c>
      <c r="D141" s="845">
        <f t="shared" ref="D141" si="117">SUM(D132:D140)</f>
        <v>128322500</v>
      </c>
      <c r="E141" s="845">
        <f t="shared" ref="E141" si="118">SUM(E132:E140)</f>
        <v>128322500</v>
      </c>
      <c r="F141" s="846">
        <f t="shared" ref="F141" si="119">SUM(F132:F140)</f>
        <v>127660702</v>
      </c>
      <c r="G141" s="845"/>
      <c r="H141" s="844">
        <f t="shared" ref="H141" si="120">SUM(H132:H140)</f>
        <v>65981543</v>
      </c>
      <c r="I141" s="845">
        <f t="shared" ref="I141" si="121">SUM(I132:I140)</f>
        <v>96501137</v>
      </c>
      <c r="J141" s="847">
        <f t="shared" ref="J141" si="122">SUM(J132:J140)</f>
        <v>127267703</v>
      </c>
      <c r="K141" s="857"/>
      <c r="L141" s="858">
        <f t="shared" si="58"/>
        <v>0.51418529875898611</v>
      </c>
      <c r="M141" s="858">
        <f t="shared" si="59"/>
        <v>0.75202039392935771</v>
      </c>
      <c r="N141" s="859">
        <f t="shared" si="60"/>
        <v>0.99692153502336212</v>
      </c>
      <c r="O141" s="857"/>
      <c r="P141" s="844">
        <f t="shared" ref="P141" si="123">SUM(P132:P140)</f>
        <v>941600</v>
      </c>
      <c r="Q141" s="845">
        <f t="shared" ref="Q141" si="124">SUM(Q132:Q140)</f>
        <v>0</v>
      </c>
      <c r="R141" s="845">
        <f t="shared" ref="R141" si="125">SUM(R132:R140)</f>
        <v>-661798</v>
      </c>
      <c r="S141" s="847">
        <f t="shared" ref="S141" si="126">SUM(S132:S140)</f>
        <v>279802</v>
      </c>
      <c r="T141" s="851">
        <f t="shared" si="116"/>
        <v>2.1965773518635837E-3</v>
      </c>
      <c r="U141" s="494"/>
      <c r="V141" s="494"/>
    </row>
    <row r="142" spans="1:22" x14ac:dyDescent="0.25">
      <c r="A142" s="860"/>
      <c r="B142" s="647"/>
      <c r="C142" s="824"/>
      <c r="D142" s="647"/>
      <c r="E142" s="647"/>
      <c r="F142" s="837"/>
      <c r="G142" s="647"/>
      <c r="H142" s="824"/>
      <c r="I142" s="647"/>
      <c r="J142" s="775"/>
      <c r="K142" s="647"/>
      <c r="L142" s="838"/>
      <c r="M142" s="838"/>
      <c r="N142" s="839"/>
      <c r="O142" s="647"/>
      <c r="P142" s="824"/>
      <c r="Q142" s="647"/>
      <c r="R142" s="647"/>
      <c r="S142" s="647"/>
      <c r="T142" s="861"/>
      <c r="U142" s="494"/>
      <c r="V142" s="494"/>
    </row>
    <row r="143" spans="1:22" ht="13.8" thickBot="1" x14ac:dyDescent="0.3">
      <c r="A143" s="862"/>
      <c r="B143" s="863" t="s">
        <v>463</v>
      </c>
      <c r="C143" s="864">
        <f>+C141-C130</f>
        <v>0</v>
      </c>
      <c r="D143" s="865">
        <f>+D141-D130</f>
        <v>0</v>
      </c>
      <c r="E143" s="865">
        <f>+E141-E130</f>
        <v>0</v>
      </c>
      <c r="F143" s="866">
        <f>+F141-F130</f>
        <v>0</v>
      </c>
      <c r="G143" s="865"/>
      <c r="H143" s="864">
        <f>+H141-H130</f>
        <v>4558654</v>
      </c>
      <c r="I143" s="865">
        <f>+I141-I130</f>
        <v>4565704</v>
      </c>
      <c r="J143" s="867">
        <f>+J141-J130</f>
        <v>2430883</v>
      </c>
      <c r="K143" s="868"/>
      <c r="L143" s="869">
        <f t="shared" ref="L143:L197" si="127">IF(D143=0,0,H143/D143)</f>
        <v>0</v>
      </c>
      <c r="M143" s="869">
        <f t="shared" ref="M143:M197" si="128">IF(E143=0,0,I143/E143)</f>
        <v>0</v>
      </c>
      <c r="N143" s="870">
        <f t="shared" ref="N143:N197" si="129">IF(F143=0,0,J143/F143)</f>
        <v>0</v>
      </c>
      <c r="O143" s="868"/>
      <c r="P143" s="864">
        <f>+P141-P130</f>
        <v>0</v>
      </c>
      <c r="Q143" s="865">
        <f>+Q141-Q130</f>
        <v>0</v>
      </c>
      <c r="R143" s="865">
        <f>+R141-R130</f>
        <v>0</v>
      </c>
      <c r="S143" s="867">
        <f>+S141-S130</f>
        <v>0</v>
      </c>
      <c r="T143" s="878">
        <f>IF(C143=0,0,S143/C143)</f>
        <v>0</v>
      </c>
      <c r="U143" s="494"/>
      <c r="V143" s="494"/>
    </row>
    <row r="144" spans="1:22" x14ac:dyDescent="0.25">
      <c r="A144" s="655"/>
      <c r="B144" s="655"/>
      <c r="C144" s="824"/>
      <c r="D144" s="647"/>
      <c r="E144" s="647"/>
      <c r="F144" s="837"/>
      <c r="G144" s="647"/>
      <c r="H144" s="824"/>
      <c r="I144" s="647"/>
      <c r="J144" s="775"/>
      <c r="K144" s="647"/>
      <c r="L144" s="838"/>
      <c r="M144" s="838"/>
      <c r="N144" s="839"/>
      <c r="O144" s="647"/>
      <c r="P144" s="824"/>
      <c r="Q144" s="647"/>
      <c r="R144" s="647"/>
      <c r="S144" s="647"/>
      <c r="T144" s="861"/>
      <c r="U144" s="494"/>
      <c r="V144" s="494"/>
    </row>
    <row r="145" spans="1:22" ht="13.8" thickBot="1" x14ac:dyDescent="0.3">
      <c r="A145" s="655"/>
      <c r="B145" s="655"/>
      <c r="C145" s="824"/>
      <c r="D145" s="647"/>
      <c r="E145" s="647"/>
      <c r="F145" s="837"/>
      <c r="G145" s="647"/>
      <c r="H145" s="824"/>
      <c r="I145" s="647"/>
      <c r="J145" s="775"/>
      <c r="K145" s="647"/>
      <c r="L145" s="838"/>
      <c r="M145" s="838"/>
      <c r="N145" s="839"/>
      <c r="O145" s="647"/>
      <c r="P145" s="824"/>
      <c r="Q145" s="647"/>
      <c r="R145" s="647"/>
      <c r="S145" s="647"/>
      <c r="T145" s="861"/>
      <c r="U145" s="494"/>
      <c r="V145" s="494"/>
    </row>
    <row r="146" spans="1:22" ht="18" thickBot="1" x14ac:dyDescent="0.3">
      <c r="A146" s="872" t="s">
        <v>459</v>
      </c>
      <c r="B146" s="885"/>
      <c r="C146" s="824"/>
      <c r="D146" s="647"/>
      <c r="E146" s="647"/>
      <c r="F146" s="837"/>
      <c r="G146" s="647"/>
      <c r="H146" s="824"/>
      <c r="I146" s="647"/>
      <c r="J146" s="775"/>
      <c r="K146" s="647"/>
      <c r="L146" s="838"/>
      <c r="M146" s="838"/>
      <c r="N146" s="839"/>
      <c r="O146" s="647"/>
      <c r="P146" s="824"/>
      <c r="Q146" s="647"/>
      <c r="R146" s="647"/>
      <c r="S146" s="647"/>
      <c r="T146" s="861"/>
      <c r="U146" s="494"/>
      <c r="V146" s="494"/>
    </row>
    <row r="147" spans="1:22" x14ac:dyDescent="0.25">
      <c r="A147" s="886"/>
      <c r="B147" s="879"/>
      <c r="C147" s="829"/>
      <c r="D147" s="832"/>
      <c r="E147" s="832"/>
      <c r="F147" s="880"/>
      <c r="G147" s="832"/>
      <c r="H147" s="829"/>
      <c r="I147" s="832"/>
      <c r="J147" s="881"/>
      <c r="K147" s="832"/>
      <c r="L147" s="874"/>
      <c r="M147" s="874"/>
      <c r="N147" s="875"/>
      <c r="O147" s="832"/>
      <c r="P147" s="829"/>
      <c r="Q147" s="832"/>
      <c r="R147" s="832"/>
      <c r="S147" s="832"/>
      <c r="T147" s="876"/>
      <c r="U147" s="494"/>
      <c r="V147" s="494"/>
    </row>
    <row r="148" spans="1:22" x14ac:dyDescent="0.25">
      <c r="A148" s="887" t="s">
        <v>0</v>
      </c>
      <c r="B148" s="655" t="str">
        <f t="shared" ref="B148:B156" si="130">+B121</f>
        <v>Személyi juttatások</v>
      </c>
      <c r="C148" s="824">
        <f>+'8. WAMKK'!C13</f>
        <v>15154800</v>
      </c>
      <c r="D148" s="647">
        <f>+'8. WAMKK'!D13</f>
        <v>15154800</v>
      </c>
      <c r="E148" s="647">
        <f>+'8. WAMKK'!E13</f>
        <v>15341000</v>
      </c>
      <c r="F148" s="837">
        <f>+'8. WAMKK'!F13</f>
        <v>15302921</v>
      </c>
      <c r="G148" s="647"/>
      <c r="H148" s="824">
        <f>+'8. WAMKK'!H13</f>
        <v>7355054</v>
      </c>
      <c r="I148" s="647">
        <f>+'8. WAMKK'!I13</f>
        <v>11516800</v>
      </c>
      <c r="J148" s="775">
        <f>+'8. WAMKK'!J13</f>
        <v>14941528</v>
      </c>
      <c r="K148" s="647"/>
      <c r="L148" s="838">
        <f t="shared" si="127"/>
        <v>0.48532834481484416</v>
      </c>
      <c r="M148" s="838">
        <f t="shared" si="128"/>
        <v>0.75072029202789914</v>
      </c>
      <c r="N148" s="839">
        <f t="shared" si="129"/>
        <v>0.97638405112331172</v>
      </c>
      <c r="O148" s="647"/>
      <c r="P148" s="824">
        <f>+'8. WAMKK'!P13</f>
        <v>0</v>
      </c>
      <c r="Q148" s="647">
        <f>+'8. WAMKK'!Q13</f>
        <v>186200</v>
      </c>
      <c r="R148" s="647">
        <f>+'8. WAMKK'!R13</f>
        <v>-38079</v>
      </c>
      <c r="S148" s="647">
        <f>+'8. WAMKK'!S13</f>
        <v>148121</v>
      </c>
      <c r="T148" s="840">
        <f t="shared" ref="T148:T157" si="131">IF(C148=0,0,S148/C148)</f>
        <v>9.7738670256288431E-3</v>
      </c>
      <c r="U148" s="494"/>
      <c r="V148" s="494"/>
    </row>
    <row r="149" spans="1:22" x14ac:dyDescent="0.25">
      <c r="A149" s="887" t="s">
        <v>27</v>
      </c>
      <c r="B149" s="655" t="str">
        <f t="shared" si="130"/>
        <v>Munkaadót terhelő járulékok és szociális hozzájárulás</v>
      </c>
      <c r="C149" s="824">
        <f>+'8. WAMKK'!C29</f>
        <v>3000000</v>
      </c>
      <c r="D149" s="647">
        <f>+'8. WAMKK'!D29</f>
        <v>3000000</v>
      </c>
      <c r="E149" s="647">
        <f>+'8. WAMKK'!E29</f>
        <v>3000000</v>
      </c>
      <c r="F149" s="837">
        <f>+'8. WAMKK'!F29</f>
        <v>3038079</v>
      </c>
      <c r="G149" s="647"/>
      <c r="H149" s="824">
        <f>+'8. WAMKK'!H29</f>
        <v>1585885</v>
      </c>
      <c r="I149" s="647">
        <f>+'8. WAMKK'!I29</f>
        <v>2473491</v>
      </c>
      <c r="J149" s="775">
        <f>+'8. WAMKK'!J29</f>
        <v>3038079</v>
      </c>
      <c r="K149" s="647"/>
      <c r="L149" s="838">
        <f t="shared" si="127"/>
        <v>0.52862833333333337</v>
      </c>
      <c r="M149" s="838">
        <f t="shared" si="128"/>
        <v>0.82449700000000004</v>
      </c>
      <c r="N149" s="839">
        <f t="shared" si="129"/>
        <v>1</v>
      </c>
      <c r="O149" s="647"/>
      <c r="P149" s="824">
        <f>+'8. WAMKK'!P29</f>
        <v>0</v>
      </c>
      <c r="Q149" s="647">
        <f>+'8. WAMKK'!Q29</f>
        <v>0</v>
      </c>
      <c r="R149" s="647">
        <f>+'8. WAMKK'!R29</f>
        <v>38079</v>
      </c>
      <c r="S149" s="647">
        <f>+'8. WAMKK'!S29</f>
        <v>38079</v>
      </c>
      <c r="T149" s="840">
        <f t="shared" si="131"/>
        <v>1.2692999999999999E-2</v>
      </c>
      <c r="U149" s="494"/>
      <c r="V149" s="494"/>
    </row>
    <row r="150" spans="1:22" x14ac:dyDescent="0.25">
      <c r="A150" s="887" t="s">
        <v>30</v>
      </c>
      <c r="B150" s="655" t="str">
        <f t="shared" si="130"/>
        <v>Dologi kiadások</v>
      </c>
      <c r="C150" s="824">
        <f>+'8. WAMKK'!C32</f>
        <v>14315000</v>
      </c>
      <c r="D150" s="647">
        <f>+'8. WAMKK'!D32</f>
        <v>14315000</v>
      </c>
      <c r="E150" s="647">
        <f>+'8. WAMKK'!E32</f>
        <v>14128800</v>
      </c>
      <c r="F150" s="837">
        <f>+'8. WAMKK'!F32</f>
        <v>10323466</v>
      </c>
      <c r="G150" s="647"/>
      <c r="H150" s="824">
        <f>+'8. WAMKK'!H32</f>
        <v>5269280</v>
      </c>
      <c r="I150" s="647">
        <f>+'8. WAMKK'!I32</f>
        <v>7723776</v>
      </c>
      <c r="J150" s="775">
        <f>+'8. WAMKK'!J32</f>
        <v>9994116</v>
      </c>
      <c r="K150" s="647"/>
      <c r="L150" s="838">
        <f t="shared" si="127"/>
        <v>0.36809500523925953</v>
      </c>
      <c r="M150" s="838">
        <f t="shared" si="128"/>
        <v>0.54666893154408014</v>
      </c>
      <c r="N150" s="839">
        <f t="shared" si="129"/>
        <v>0.96809695503428794</v>
      </c>
      <c r="O150" s="647"/>
      <c r="P150" s="824">
        <f>+'8. WAMKK'!P32</f>
        <v>0</v>
      </c>
      <c r="Q150" s="647">
        <f>+'8. WAMKK'!Q32</f>
        <v>-186200</v>
      </c>
      <c r="R150" s="647">
        <f>+'8. WAMKK'!R32</f>
        <v>-3805334</v>
      </c>
      <c r="S150" s="647">
        <f>+'8. WAMKK'!S32</f>
        <v>-3991534</v>
      </c>
      <c r="T150" s="840">
        <f t="shared" si="131"/>
        <v>-0.27883576667830945</v>
      </c>
      <c r="U150" s="494"/>
      <c r="V150" s="494"/>
    </row>
    <row r="151" spans="1:22" x14ac:dyDescent="0.25">
      <c r="A151" s="887" t="s">
        <v>112</v>
      </c>
      <c r="B151" s="655" t="str">
        <f t="shared" si="130"/>
        <v>Elláttotak pénzbeli juttatásai</v>
      </c>
      <c r="C151" s="824"/>
      <c r="D151" s="647"/>
      <c r="E151" s="647"/>
      <c r="F151" s="837"/>
      <c r="G151" s="647"/>
      <c r="H151" s="824"/>
      <c r="I151" s="647"/>
      <c r="J151" s="775"/>
      <c r="K151" s="647"/>
      <c r="L151" s="838">
        <f t="shared" si="127"/>
        <v>0</v>
      </c>
      <c r="M151" s="838">
        <f t="shared" si="128"/>
        <v>0</v>
      </c>
      <c r="N151" s="839">
        <f t="shared" si="129"/>
        <v>0</v>
      </c>
      <c r="O151" s="647"/>
      <c r="P151" s="824"/>
      <c r="Q151" s="647"/>
      <c r="R151" s="647"/>
      <c r="S151" s="647"/>
      <c r="T151" s="840">
        <f t="shared" si="131"/>
        <v>0</v>
      </c>
      <c r="U151" s="494"/>
      <c r="V151" s="494"/>
    </row>
    <row r="152" spans="1:22" x14ac:dyDescent="0.25">
      <c r="A152" s="888" t="s">
        <v>378</v>
      </c>
      <c r="B152" s="655" t="str">
        <f t="shared" si="130"/>
        <v>Egyéb működési célú kiadások</v>
      </c>
      <c r="C152" s="824"/>
      <c r="D152" s="647"/>
      <c r="E152" s="647"/>
      <c r="F152" s="837"/>
      <c r="G152" s="647"/>
      <c r="H152" s="824"/>
      <c r="I152" s="647"/>
      <c r="J152" s="775"/>
      <c r="K152" s="647"/>
      <c r="L152" s="838">
        <f t="shared" si="127"/>
        <v>0</v>
      </c>
      <c r="M152" s="838">
        <f t="shared" si="128"/>
        <v>0</v>
      </c>
      <c r="N152" s="839">
        <f t="shared" si="129"/>
        <v>0</v>
      </c>
      <c r="O152" s="647"/>
      <c r="P152" s="824"/>
      <c r="Q152" s="647"/>
      <c r="R152" s="647"/>
      <c r="S152" s="647"/>
      <c r="T152" s="840">
        <f t="shared" si="131"/>
        <v>0</v>
      </c>
      <c r="U152" s="494"/>
      <c r="V152" s="494"/>
    </row>
    <row r="153" spans="1:22" x14ac:dyDescent="0.25">
      <c r="A153" s="887" t="s">
        <v>159</v>
      </c>
      <c r="B153" s="655" t="str">
        <f t="shared" si="130"/>
        <v>Beruházások</v>
      </c>
      <c r="C153" s="824">
        <f>+'8. WAMKK'!C83</f>
        <v>1250000</v>
      </c>
      <c r="D153" s="647">
        <f>+'8. WAMKK'!D83</f>
        <v>1250000</v>
      </c>
      <c r="E153" s="647">
        <f>+'8. WAMKK'!E83</f>
        <v>1250000</v>
      </c>
      <c r="F153" s="837">
        <f>+'8. WAMKK'!F83</f>
        <v>711030</v>
      </c>
      <c r="G153" s="647"/>
      <c r="H153" s="824">
        <f>+'8. WAMKK'!H83</f>
        <v>195390</v>
      </c>
      <c r="I153" s="647">
        <f>+'8. WAMKK'!I83</f>
        <v>216890</v>
      </c>
      <c r="J153" s="775">
        <f>+'8. WAMKK'!J83</f>
        <v>711030</v>
      </c>
      <c r="K153" s="647"/>
      <c r="L153" s="838">
        <f t="shared" si="127"/>
        <v>0.15631200000000001</v>
      </c>
      <c r="M153" s="838">
        <f t="shared" si="128"/>
        <v>0.173512</v>
      </c>
      <c r="N153" s="839">
        <f t="shared" si="129"/>
        <v>1</v>
      </c>
      <c r="O153" s="647"/>
      <c r="P153" s="824">
        <f>+'8. WAMKK'!P83</f>
        <v>0</v>
      </c>
      <c r="Q153" s="647">
        <f>+'8. WAMKK'!Q83</f>
        <v>0</v>
      </c>
      <c r="R153" s="647">
        <f>+'8. WAMKK'!R83</f>
        <v>-538970</v>
      </c>
      <c r="S153" s="647">
        <f>+'8. WAMKK'!S83</f>
        <v>-538970</v>
      </c>
      <c r="T153" s="840">
        <f t="shared" si="131"/>
        <v>-0.431176</v>
      </c>
      <c r="U153" s="494"/>
      <c r="V153" s="494"/>
    </row>
    <row r="154" spans="1:22" x14ac:dyDescent="0.25">
      <c r="A154" s="887" t="s">
        <v>174</v>
      </c>
      <c r="B154" s="655" t="str">
        <f t="shared" si="130"/>
        <v>Felújítások</v>
      </c>
      <c r="C154" s="824">
        <f>+'8. WAMKK'!C86</f>
        <v>0</v>
      </c>
      <c r="D154" s="647">
        <f>+'8. WAMKK'!D86</f>
        <v>0</v>
      </c>
      <c r="E154" s="647">
        <f>+'8. WAMKK'!E86</f>
        <v>0</v>
      </c>
      <c r="F154" s="837">
        <f>+'8. WAMKK'!F86</f>
        <v>0</v>
      </c>
      <c r="G154" s="647"/>
      <c r="H154" s="824">
        <f>+'8. WAMKK'!H86</f>
        <v>0</v>
      </c>
      <c r="I154" s="647">
        <f>+'8. WAMKK'!I86</f>
        <v>0</v>
      </c>
      <c r="J154" s="775">
        <f>+'8. WAMKK'!J86</f>
        <v>0</v>
      </c>
      <c r="K154" s="647"/>
      <c r="L154" s="838">
        <f t="shared" si="127"/>
        <v>0</v>
      </c>
      <c r="M154" s="838">
        <f t="shared" si="128"/>
        <v>0</v>
      </c>
      <c r="N154" s="839">
        <f t="shared" si="129"/>
        <v>0</v>
      </c>
      <c r="O154" s="647"/>
      <c r="P154" s="824">
        <f>+'8. WAMKK'!P86</f>
        <v>0</v>
      </c>
      <c r="Q154" s="647">
        <f>+'8. WAMKK'!Q86</f>
        <v>0</v>
      </c>
      <c r="R154" s="647">
        <f>+'8. WAMKK'!R86</f>
        <v>0</v>
      </c>
      <c r="S154" s="647">
        <f>+'8. WAMKK'!S86</f>
        <v>0</v>
      </c>
      <c r="T154" s="840">
        <f t="shared" si="131"/>
        <v>0</v>
      </c>
      <c r="U154" s="494"/>
      <c r="V154" s="494"/>
    </row>
    <row r="155" spans="1:22" x14ac:dyDescent="0.25">
      <c r="A155" s="887" t="s">
        <v>184</v>
      </c>
      <c r="B155" s="655" t="str">
        <f t="shared" si="130"/>
        <v>Szolgáltatások kiadásai</v>
      </c>
      <c r="C155" s="824"/>
      <c r="D155" s="647"/>
      <c r="E155" s="647"/>
      <c r="F155" s="837"/>
      <c r="G155" s="647"/>
      <c r="H155" s="824"/>
      <c r="I155" s="647"/>
      <c r="J155" s="775"/>
      <c r="K155" s="647"/>
      <c r="L155" s="838">
        <f t="shared" si="127"/>
        <v>0</v>
      </c>
      <c r="M155" s="838">
        <f t="shared" si="128"/>
        <v>0</v>
      </c>
      <c r="N155" s="839">
        <f t="shared" si="129"/>
        <v>0</v>
      </c>
      <c r="O155" s="647"/>
      <c r="P155" s="824"/>
      <c r="Q155" s="647"/>
      <c r="R155" s="647"/>
      <c r="S155" s="647"/>
      <c r="T155" s="840">
        <f t="shared" si="131"/>
        <v>0</v>
      </c>
      <c r="U155" s="494"/>
      <c r="V155" s="494"/>
    </row>
    <row r="156" spans="1:22" x14ac:dyDescent="0.25">
      <c r="A156" s="887" t="s">
        <v>202</v>
      </c>
      <c r="B156" s="655" t="str">
        <f t="shared" si="130"/>
        <v>Finanszírozási kiadások</v>
      </c>
      <c r="C156" s="824"/>
      <c r="D156" s="647"/>
      <c r="E156" s="647"/>
      <c r="F156" s="837"/>
      <c r="G156" s="647"/>
      <c r="H156" s="824"/>
      <c r="I156" s="647"/>
      <c r="J156" s="775"/>
      <c r="K156" s="647"/>
      <c r="L156" s="838">
        <f t="shared" si="127"/>
        <v>0</v>
      </c>
      <c r="M156" s="838">
        <f t="shared" si="128"/>
        <v>0</v>
      </c>
      <c r="N156" s="839">
        <f t="shared" si="129"/>
        <v>0</v>
      </c>
      <c r="O156" s="647"/>
      <c r="P156" s="824"/>
      <c r="Q156" s="647"/>
      <c r="R156" s="647"/>
      <c r="S156" s="647"/>
      <c r="T156" s="840">
        <f t="shared" si="131"/>
        <v>0</v>
      </c>
      <c r="U156" s="494"/>
      <c r="V156" s="494"/>
    </row>
    <row r="157" spans="1:22" x14ac:dyDescent="0.25">
      <c r="A157" s="889"/>
      <c r="B157" s="890" t="s">
        <v>380</v>
      </c>
      <c r="C157" s="891">
        <f>SUM(C148:C156)</f>
        <v>33719800</v>
      </c>
      <c r="D157" s="892">
        <f t="shared" ref="D157" si="132">SUM(D148:D156)</f>
        <v>33719800</v>
      </c>
      <c r="E157" s="892">
        <f t="shared" ref="E157" si="133">SUM(E148:E156)</f>
        <v>33719800</v>
      </c>
      <c r="F157" s="893">
        <f t="shared" ref="F157" si="134">SUM(F148:F156)</f>
        <v>29375496</v>
      </c>
      <c r="G157" s="892"/>
      <c r="H157" s="891">
        <f t="shared" ref="H157" si="135">SUM(H148:H156)</f>
        <v>14405609</v>
      </c>
      <c r="I157" s="892">
        <f t="shared" ref="I157" si="136">SUM(I148:I156)</f>
        <v>21930957</v>
      </c>
      <c r="J157" s="894">
        <f t="shared" ref="J157" si="137">SUM(J148:J156)</f>
        <v>28684753</v>
      </c>
      <c r="K157" s="895"/>
      <c r="L157" s="849">
        <f t="shared" si="127"/>
        <v>0.4272151376935806</v>
      </c>
      <c r="M157" s="849">
        <f t="shared" si="128"/>
        <v>0.65038811024976428</v>
      </c>
      <c r="N157" s="850">
        <f t="shared" si="129"/>
        <v>0.97648574172160363</v>
      </c>
      <c r="O157" s="895"/>
      <c r="P157" s="891">
        <f t="shared" ref="P157" si="138">SUM(P148:P156)</f>
        <v>0</v>
      </c>
      <c r="Q157" s="892">
        <f t="shared" ref="Q157" si="139">SUM(Q148:Q156)</f>
        <v>0</v>
      </c>
      <c r="R157" s="892">
        <f t="shared" ref="R157" si="140">SUM(R148:R156)</f>
        <v>-4344304</v>
      </c>
      <c r="S157" s="894">
        <f t="shared" ref="S157" si="141">SUM(S148:S156)</f>
        <v>-4344304</v>
      </c>
      <c r="T157" s="851">
        <f t="shared" si="131"/>
        <v>-0.12883540234520963</v>
      </c>
      <c r="U157" s="494"/>
      <c r="V157" s="494"/>
    </row>
    <row r="158" spans="1:22" x14ac:dyDescent="0.25">
      <c r="A158" s="860"/>
      <c r="B158" s="593"/>
      <c r="C158" s="860"/>
      <c r="D158" s="653"/>
      <c r="E158" s="653"/>
      <c r="F158" s="877"/>
      <c r="G158" s="653"/>
      <c r="H158" s="860"/>
      <c r="I158" s="653"/>
      <c r="J158" s="797"/>
      <c r="K158" s="653"/>
      <c r="L158" s="838"/>
      <c r="M158" s="838"/>
      <c r="N158" s="839"/>
      <c r="O158" s="653"/>
      <c r="P158" s="860"/>
      <c r="Q158" s="593"/>
      <c r="R158" s="593"/>
      <c r="S158" s="593"/>
      <c r="T158" s="840"/>
      <c r="U158" s="494"/>
      <c r="V158" s="494"/>
    </row>
    <row r="159" spans="1:22" x14ac:dyDescent="0.25">
      <c r="A159" s="836" t="str">
        <f t="shared" ref="A159:B165" si="142">+A132</f>
        <v>B1</v>
      </c>
      <c r="B159" s="655" t="str">
        <f t="shared" si="142"/>
        <v>Működési célú tám-ok államháztartáson belülről</v>
      </c>
      <c r="C159" s="824">
        <f>+'8. WAMKK'!C93</f>
        <v>0</v>
      </c>
      <c r="D159" s="647">
        <f>+'8. WAMKK'!D93</f>
        <v>0</v>
      </c>
      <c r="E159" s="647">
        <f>+'8. WAMKK'!E93</f>
        <v>0</v>
      </c>
      <c r="F159" s="837">
        <f>+'8. WAMKK'!F93</f>
        <v>0</v>
      </c>
      <c r="G159" s="647"/>
      <c r="H159" s="824">
        <f>+'8. WAMKK'!H93</f>
        <v>0</v>
      </c>
      <c r="I159" s="647">
        <f>+'8. WAMKK'!I93</f>
        <v>0</v>
      </c>
      <c r="J159" s="775">
        <f>+'8. WAMKK'!J93</f>
        <v>0</v>
      </c>
      <c r="K159" s="647"/>
      <c r="L159" s="838">
        <f t="shared" si="127"/>
        <v>0</v>
      </c>
      <c r="M159" s="838">
        <f t="shared" si="128"/>
        <v>0</v>
      </c>
      <c r="N159" s="839">
        <f t="shared" si="129"/>
        <v>0</v>
      </c>
      <c r="O159" s="647"/>
      <c r="P159" s="824">
        <f>+'8. WAMKK'!P93</f>
        <v>0</v>
      </c>
      <c r="Q159" s="647">
        <f>+'8. WAMKK'!Q93</f>
        <v>0</v>
      </c>
      <c r="R159" s="647">
        <f>+'8. WAMKK'!R93</f>
        <v>0</v>
      </c>
      <c r="S159" s="647">
        <f>+'8. WAMKK'!S93</f>
        <v>0</v>
      </c>
      <c r="T159" s="840">
        <f t="shared" ref="T159:T168" si="143">IF(C159=0,0,S159/C159)</f>
        <v>0</v>
      </c>
      <c r="U159" s="494"/>
      <c r="V159" s="494"/>
    </row>
    <row r="160" spans="1:22" x14ac:dyDescent="0.25">
      <c r="A160" s="836" t="str">
        <f t="shared" si="142"/>
        <v>B2</v>
      </c>
      <c r="B160" s="655" t="str">
        <f t="shared" si="142"/>
        <v>Felhalmozási célú tám-ok államházt-on belülről</v>
      </c>
      <c r="C160" s="824"/>
      <c r="D160" s="647"/>
      <c r="E160" s="647"/>
      <c r="F160" s="837"/>
      <c r="G160" s="647"/>
      <c r="H160" s="824"/>
      <c r="I160" s="647"/>
      <c r="J160" s="775"/>
      <c r="K160" s="647"/>
      <c r="L160" s="838">
        <f t="shared" si="127"/>
        <v>0</v>
      </c>
      <c r="M160" s="838">
        <f t="shared" si="128"/>
        <v>0</v>
      </c>
      <c r="N160" s="839">
        <f t="shared" si="129"/>
        <v>0</v>
      </c>
      <c r="O160" s="647"/>
      <c r="P160" s="824"/>
      <c r="Q160" s="647"/>
      <c r="R160" s="647"/>
      <c r="S160" s="647"/>
      <c r="T160" s="840">
        <f t="shared" si="143"/>
        <v>0</v>
      </c>
      <c r="U160" s="494"/>
      <c r="V160" s="494"/>
    </row>
    <row r="161" spans="1:22" x14ac:dyDescent="0.25">
      <c r="A161" s="836" t="str">
        <f t="shared" si="142"/>
        <v>B3</v>
      </c>
      <c r="B161" s="655" t="str">
        <f t="shared" si="142"/>
        <v>Közhatalmi bevételek</v>
      </c>
      <c r="C161" s="824"/>
      <c r="D161" s="647"/>
      <c r="E161" s="647"/>
      <c r="F161" s="837"/>
      <c r="G161" s="647"/>
      <c r="H161" s="824"/>
      <c r="I161" s="647"/>
      <c r="J161" s="775"/>
      <c r="K161" s="647"/>
      <c r="L161" s="838">
        <f t="shared" si="127"/>
        <v>0</v>
      </c>
      <c r="M161" s="838">
        <f t="shared" si="128"/>
        <v>0</v>
      </c>
      <c r="N161" s="839">
        <f t="shared" si="129"/>
        <v>0</v>
      </c>
      <c r="O161" s="647"/>
      <c r="P161" s="824"/>
      <c r="Q161" s="647"/>
      <c r="R161" s="647"/>
      <c r="S161" s="647"/>
      <c r="T161" s="840">
        <f t="shared" si="143"/>
        <v>0</v>
      </c>
      <c r="U161" s="494"/>
      <c r="V161" s="494"/>
    </row>
    <row r="162" spans="1:22" x14ac:dyDescent="0.25">
      <c r="A162" s="836" t="str">
        <f t="shared" si="142"/>
        <v>B4</v>
      </c>
      <c r="B162" s="655" t="str">
        <f t="shared" si="142"/>
        <v>Működési bevételek</v>
      </c>
      <c r="C162" s="824">
        <f>+'8. WAMKK'!C95</f>
        <v>1811000</v>
      </c>
      <c r="D162" s="647">
        <f>+'8. WAMKK'!D95</f>
        <v>1811000</v>
      </c>
      <c r="E162" s="647">
        <f>+'8. WAMKK'!E95</f>
        <v>1811000</v>
      </c>
      <c r="F162" s="837">
        <f>+'8. WAMKK'!F95</f>
        <v>1183416</v>
      </c>
      <c r="G162" s="647"/>
      <c r="H162" s="824">
        <f>+'8. WAMKK'!H95</f>
        <v>388380</v>
      </c>
      <c r="I162" s="647">
        <f>+'8. WAMKK'!I95</f>
        <v>726634</v>
      </c>
      <c r="J162" s="775">
        <f>+'8. WAMKK'!J95</f>
        <v>1199085</v>
      </c>
      <c r="K162" s="647"/>
      <c r="L162" s="838">
        <f t="shared" si="127"/>
        <v>0.21445610160132522</v>
      </c>
      <c r="M162" s="838">
        <f t="shared" si="128"/>
        <v>0.40123357261181669</v>
      </c>
      <c r="N162" s="839">
        <f t="shared" si="129"/>
        <v>1.0132404834817172</v>
      </c>
      <c r="O162" s="647"/>
      <c r="P162" s="824">
        <f>+'8. WAMKK'!P95</f>
        <v>0</v>
      </c>
      <c r="Q162" s="647">
        <f>+'8. WAMKK'!Q95</f>
        <v>0</v>
      </c>
      <c r="R162" s="647">
        <f>+'8. WAMKK'!R95</f>
        <v>-627584</v>
      </c>
      <c r="S162" s="647">
        <f>+'8. WAMKK'!S95</f>
        <v>-627584</v>
      </c>
      <c r="T162" s="840">
        <f t="shared" si="143"/>
        <v>-0.3465400331308669</v>
      </c>
      <c r="U162" s="494"/>
      <c r="V162" s="494"/>
    </row>
    <row r="163" spans="1:22" x14ac:dyDescent="0.25">
      <c r="A163" s="836" t="str">
        <f t="shared" si="142"/>
        <v>B5</v>
      </c>
      <c r="B163" s="655" t="str">
        <f t="shared" si="142"/>
        <v>Felhalmozási bevételek</v>
      </c>
      <c r="C163" s="824"/>
      <c r="D163" s="647"/>
      <c r="E163" s="647"/>
      <c r="F163" s="837"/>
      <c r="G163" s="647"/>
      <c r="H163" s="824"/>
      <c r="I163" s="647"/>
      <c r="J163" s="775"/>
      <c r="K163" s="647"/>
      <c r="L163" s="838">
        <f t="shared" si="127"/>
        <v>0</v>
      </c>
      <c r="M163" s="838">
        <f t="shared" si="128"/>
        <v>0</v>
      </c>
      <c r="N163" s="839">
        <f t="shared" si="129"/>
        <v>0</v>
      </c>
      <c r="O163" s="647"/>
      <c r="P163" s="824"/>
      <c r="Q163" s="647"/>
      <c r="R163" s="647"/>
      <c r="S163" s="647"/>
      <c r="T163" s="840">
        <f t="shared" si="143"/>
        <v>0</v>
      </c>
      <c r="U163" s="494"/>
      <c r="V163" s="494"/>
    </row>
    <row r="164" spans="1:22" x14ac:dyDescent="0.25">
      <c r="A164" s="836" t="str">
        <f t="shared" si="142"/>
        <v>B6</v>
      </c>
      <c r="B164" s="655" t="str">
        <f t="shared" si="142"/>
        <v>Működési célú átvett pénzeszközök</v>
      </c>
      <c r="C164" s="824"/>
      <c r="D164" s="647"/>
      <c r="E164" s="647"/>
      <c r="F164" s="837"/>
      <c r="G164" s="647"/>
      <c r="H164" s="824"/>
      <c r="I164" s="647"/>
      <c r="J164" s="775"/>
      <c r="K164" s="647"/>
      <c r="L164" s="838">
        <f t="shared" si="127"/>
        <v>0</v>
      </c>
      <c r="M164" s="838">
        <f t="shared" si="128"/>
        <v>0</v>
      </c>
      <c r="N164" s="839">
        <f t="shared" si="129"/>
        <v>0</v>
      </c>
      <c r="O164" s="647"/>
      <c r="P164" s="824"/>
      <c r="Q164" s="647"/>
      <c r="R164" s="647"/>
      <c r="S164" s="647"/>
      <c r="T164" s="840">
        <f t="shared" si="143"/>
        <v>0</v>
      </c>
      <c r="U164" s="494"/>
      <c r="V164" s="494"/>
    </row>
    <row r="165" spans="1:22" x14ac:dyDescent="0.25">
      <c r="A165" s="836" t="str">
        <f t="shared" si="142"/>
        <v>B7</v>
      </c>
      <c r="B165" s="655" t="str">
        <f t="shared" si="142"/>
        <v>Felhalmozási célú átvett pénzeszközök</v>
      </c>
      <c r="C165" s="824"/>
      <c r="D165" s="647"/>
      <c r="E165" s="647"/>
      <c r="F165" s="837"/>
      <c r="G165" s="647"/>
      <c r="H165" s="824"/>
      <c r="I165" s="647"/>
      <c r="J165" s="775"/>
      <c r="K165" s="647"/>
      <c r="L165" s="838">
        <f t="shared" si="127"/>
        <v>0</v>
      </c>
      <c r="M165" s="838">
        <f t="shared" si="128"/>
        <v>0</v>
      </c>
      <c r="N165" s="839">
        <f t="shared" si="129"/>
        <v>0</v>
      </c>
      <c r="O165" s="647"/>
      <c r="P165" s="824"/>
      <c r="Q165" s="647"/>
      <c r="R165" s="647"/>
      <c r="S165" s="647"/>
      <c r="T165" s="840">
        <f t="shared" si="143"/>
        <v>0</v>
      </c>
      <c r="U165" s="494"/>
      <c r="V165" s="494"/>
    </row>
    <row r="166" spans="1:22" x14ac:dyDescent="0.25">
      <c r="A166" s="836" t="str">
        <f>+A139</f>
        <v>B8-ból maradványértéken túli finanszírozási bevételek</v>
      </c>
      <c r="B166" s="655"/>
      <c r="C166" s="824">
        <f>+'8. WAMKK'!C99-C167</f>
        <v>31393194</v>
      </c>
      <c r="D166" s="647">
        <f>+'8. WAMKK'!D99-D167</f>
        <v>31393194</v>
      </c>
      <c r="E166" s="647">
        <f>+'8. WAMKK'!E99-E167</f>
        <v>31393194</v>
      </c>
      <c r="F166" s="837">
        <f>+'8. WAMKK'!F99-F167</f>
        <v>27676474</v>
      </c>
      <c r="G166" s="647"/>
      <c r="H166" s="824">
        <f>+'8. WAMKK'!H99-H167</f>
        <v>14273037</v>
      </c>
      <c r="I166" s="647">
        <f>+'8. WAMKK'!I99-I167</f>
        <v>22420772</v>
      </c>
      <c r="J166" s="775">
        <f>+'8. WAMKK'!J99-J167</f>
        <v>27676474</v>
      </c>
      <c r="K166" s="647"/>
      <c r="L166" s="838">
        <f t="shared" si="127"/>
        <v>0.45465386542063863</v>
      </c>
      <c r="M166" s="838">
        <f t="shared" si="128"/>
        <v>0.71419212712156654</v>
      </c>
      <c r="N166" s="839">
        <f t="shared" si="129"/>
        <v>1</v>
      </c>
      <c r="O166" s="647"/>
      <c r="P166" s="824">
        <f>+'8. WAMKK'!P99-P167</f>
        <v>0</v>
      </c>
      <c r="Q166" s="647">
        <f>+'8. WAMKK'!Q99-Q167</f>
        <v>0</v>
      </c>
      <c r="R166" s="647">
        <f>+'8. WAMKK'!R99-R167</f>
        <v>-3716720</v>
      </c>
      <c r="S166" s="647">
        <f>+'8. WAMKK'!S99-S167</f>
        <v>-3716720</v>
      </c>
      <c r="T166" s="840">
        <f t="shared" si="143"/>
        <v>-0.11839254075262301</v>
      </c>
      <c r="U166" s="494"/>
      <c r="V166" s="494"/>
    </row>
    <row r="167" spans="1:22" x14ac:dyDescent="0.25">
      <c r="A167" s="836" t="str">
        <f>+A140</f>
        <v>B8-ból előző évi mardvány igénybevétele</v>
      </c>
      <c r="B167" s="655"/>
      <c r="C167" s="824">
        <f>+'8. WAMKK'!C101</f>
        <v>515606</v>
      </c>
      <c r="D167" s="647">
        <f>+'8. WAMKK'!D101</f>
        <v>515606</v>
      </c>
      <c r="E167" s="647">
        <f>+'8. WAMKK'!E101</f>
        <v>515606</v>
      </c>
      <c r="F167" s="837">
        <f>+'8. WAMKK'!F101</f>
        <v>515606</v>
      </c>
      <c r="G167" s="647"/>
      <c r="H167" s="824">
        <f>+'8. WAMKK'!H101</f>
        <v>515606</v>
      </c>
      <c r="I167" s="647">
        <f>+'8. WAMKK'!I101</f>
        <v>515606</v>
      </c>
      <c r="J167" s="775">
        <f>+'8. WAMKK'!J101</f>
        <v>515606</v>
      </c>
      <c r="K167" s="647"/>
      <c r="L167" s="838">
        <f t="shared" si="127"/>
        <v>1</v>
      </c>
      <c r="M167" s="838">
        <f t="shared" si="128"/>
        <v>1</v>
      </c>
      <c r="N167" s="839">
        <f t="shared" si="129"/>
        <v>1</v>
      </c>
      <c r="O167" s="647"/>
      <c r="P167" s="824">
        <f>+'8. WAMKK'!P101</f>
        <v>0</v>
      </c>
      <c r="Q167" s="647">
        <f>+'8. WAMKK'!Q101</f>
        <v>0</v>
      </c>
      <c r="R167" s="647">
        <f>+'8. WAMKK'!R101</f>
        <v>0</v>
      </c>
      <c r="S167" s="647">
        <f>+'8. WAMKK'!S101</f>
        <v>0</v>
      </c>
      <c r="T167" s="840">
        <f t="shared" si="143"/>
        <v>0</v>
      </c>
      <c r="U167" s="494"/>
      <c r="V167" s="494"/>
    </row>
    <row r="168" spans="1:22" x14ac:dyDescent="0.25">
      <c r="A168" s="896"/>
      <c r="B168" s="890" t="s">
        <v>379</v>
      </c>
      <c r="C168" s="891">
        <f>SUM(C159:C167)</f>
        <v>33719800</v>
      </c>
      <c r="D168" s="892">
        <f t="shared" ref="D168" si="144">SUM(D159:D167)</f>
        <v>33719800</v>
      </c>
      <c r="E168" s="892">
        <f t="shared" ref="E168" si="145">SUM(E159:E167)</f>
        <v>33719800</v>
      </c>
      <c r="F168" s="893">
        <f t="shared" ref="F168" si="146">SUM(F159:F167)</f>
        <v>29375496</v>
      </c>
      <c r="G168" s="892"/>
      <c r="H168" s="891">
        <f t="shared" ref="H168" si="147">SUM(H159:H167)</f>
        <v>15177023</v>
      </c>
      <c r="I168" s="892">
        <f t="shared" ref="I168" si="148">SUM(I159:I167)</f>
        <v>23663012</v>
      </c>
      <c r="J168" s="894">
        <f t="shared" ref="J168" si="149">SUM(J159:J167)</f>
        <v>29391165</v>
      </c>
      <c r="K168" s="897"/>
      <c r="L168" s="858">
        <f t="shared" si="127"/>
        <v>0.45009231964602398</v>
      </c>
      <c r="M168" s="858">
        <f t="shared" si="128"/>
        <v>0.70175422155528799</v>
      </c>
      <c r="N168" s="859">
        <f t="shared" si="129"/>
        <v>1.0005334037593783</v>
      </c>
      <c r="O168" s="897"/>
      <c r="P168" s="891">
        <f t="shared" ref="P168" si="150">SUM(P159:P167)</f>
        <v>0</v>
      </c>
      <c r="Q168" s="892">
        <f t="shared" ref="Q168" si="151">SUM(Q159:Q167)</f>
        <v>0</v>
      </c>
      <c r="R168" s="892">
        <f t="shared" ref="R168" si="152">SUM(R159:R167)</f>
        <v>-4344304</v>
      </c>
      <c r="S168" s="894">
        <f t="shared" ref="S168" si="153">SUM(S159:S167)</f>
        <v>-4344304</v>
      </c>
      <c r="T168" s="851">
        <f t="shared" si="143"/>
        <v>-0.12883540234520963</v>
      </c>
      <c r="U168" s="494"/>
      <c r="V168" s="494"/>
    </row>
    <row r="169" spans="1:22" x14ac:dyDescent="0.25">
      <c r="A169" s="860"/>
      <c r="B169" s="647"/>
      <c r="C169" s="824"/>
      <c r="D169" s="647"/>
      <c r="E169" s="647"/>
      <c r="F169" s="837"/>
      <c r="G169" s="647"/>
      <c r="H169" s="824"/>
      <c r="I169" s="647"/>
      <c r="J169" s="775"/>
      <c r="K169" s="647"/>
      <c r="L169" s="838"/>
      <c r="M169" s="838"/>
      <c r="N169" s="839"/>
      <c r="O169" s="647"/>
      <c r="P169" s="824"/>
      <c r="Q169" s="647"/>
      <c r="R169" s="647"/>
      <c r="S169" s="647"/>
      <c r="T169" s="861"/>
      <c r="U169" s="494"/>
      <c r="V169" s="494"/>
    </row>
    <row r="170" spans="1:22" ht="13.8" thickBot="1" x14ac:dyDescent="0.3">
      <c r="A170" s="862"/>
      <c r="B170" s="863" t="s">
        <v>463</v>
      </c>
      <c r="C170" s="864">
        <f>+C168-C157</f>
        <v>0</v>
      </c>
      <c r="D170" s="865">
        <f>+D168-D157</f>
        <v>0</v>
      </c>
      <c r="E170" s="865">
        <f>+E168-E157</f>
        <v>0</v>
      </c>
      <c r="F170" s="866">
        <f>+F168-F157</f>
        <v>0</v>
      </c>
      <c r="G170" s="865"/>
      <c r="H170" s="864">
        <f>+H168-H157</f>
        <v>771414</v>
      </c>
      <c r="I170" s="865">
        <f>+I168-I157</f>
        <v>1732055</v>
      </c>
      <c r="J170" s="867">
        <f>+J168-J157</f>
        <v>706412</v>
      </c>
      <c r="K170" s="868"/>
      <c r="L170" s="869">
        <f t="shared" si="127"/>
        <v>0</v>
      </c>
      <c r="M170" s="869">
        <f t="shared" si="128"/>
        <v>0</v>
      </c>
      <c r="N170" s="870">
        <f t="shared" si="129"/>
        <v>0</v>
      </c>
      <c r="O170" s="868"/>
      <c r="P170" s="864">
        <f>+P168-P157</f>
        <v>0</v>
      </c>
      <c r="Q170" s="865">
        <f>+Q168-Q157</f>
        <v>0</v>
      </c>
      <c r="R170" s="865">
        <f>+R168-R157</f>
        <v>0</v>
      </c>
      <c r="S170" s="867">
        <f>+S168-S157</f>
        <v>0</v>
      </c>
      <c r="T170" s="878">
        <f>IF(C170=0,0,S170/C170)</f>
        <v>0</v>
      </c>
      <c r="U170" s="494"/>
      <c r="V170" s="494"/>
    </row>
    <row r="171" spans="1:22" x14ac:dyDescent="0.25">
      <c r="A171" s="593"/>
      <c r="B171" s="647"/>
      <c r="C171" s="824"/>
      <c r="D171" s="647"/>
      <c r="E171" s="647"/>
      <c r="F171" s="837"/>
      <c r="G171" s="647"/>
      <c r="H171" s="824"/>
      <c r="I171" s="647"/>
      <c r="J171" s="775"/>
      <c r="K171" s="647"/>
      <c r="L171" s="838"/>
      <c r="M171" s="838"/>
      <c r="N171" s="839"/>
      <c r="O171" s="647"/>
      <c r="P171" s="824"/>
      <c r="Q171" s="647"/>
      <c r="R171" s="647"/>
      <c r="S171" s="647"/>
      <c r="T171" s="861"/>
      <c r="U171" s="494"/>
      <c r="V171" s="494"/>
    </row>
    <row r="172" spans="1:22" ht="13.8" thickBot="1" x14ac:dyDescent="0.3">
      <c r="A172" s="593"/>
      <c r="B172" s="647"/>
      <c r="C172" s="824"/>
      <c r="D172" s="647"/>
      <c r="E172" s="647"/>
      <c r="F172" s="837"/>
      <c r="G172" s="647"/>
      <c r="H172" s="824"/>
      <c r="I172" s="647"/>
      <c r="J172" s="775"/>
      <c r="K172" s="647"/>
      <c r="L172" s="838"/>
      <c r="M172" s="838"/>
      <c r="N172" s="839"/>
      <c r="O172" s="647"/>
      <c r="P172" s="824"/>
      <c r="Q172" s="647"/>
      <c r="R172" s="647"/>
      <c r="S172" s="647"/>
      <c r="T172" s="861"/>
      <c r="U172" s="494"/>
      <c r="V172" s="494"/>
    </row>
    <row r="173" spans="1:22" ht="18" thickBot="1" x14ac:dyDescent="0.3">
      <c r="A173" s="872" t="s">
        <v>432</v>
      </c>
      <c r="B173" s="880"/>
      <c r="C173" s="824"/>
      <c r="D173" s="647"/>
      <c r="E173" s="647"/>
      <c r="F173" s="837"/>
      <c r="G173" s="647"/>
      <c r="H173" s="824"/>
      <c r="I173" s="647"/>
      <c r="J173" s="775"/>
      <c r="K173" s="647"/>
      <c r="L173" s="838"/>
      <c r="M173" s="838"/>
      <c r="N173" s="839"/>
      <c r="O173" s="647"/>
      <c r="P173" s="824"/>
      <c r="Q173" s="647"/>
      <c r="R173" s="647"/>
      <c r="S173" s="647"/>
      <c r="T173" s="861"/>
      <c r="U173" s="494"/>
      <c r="V173" s="494"/>
    </row>
    <row r="174" spans="1:22" x14ac:dyDescent="0.25">
      <c r="A174" s="829"/>
      <c r="B174" s="832"/>
      <c r="C174" s="829"/>
      <c r="D174" s="832"/>
      <c r="E174" s="832"/>
      <c r="F174" s="880"/>
      <c r="G174" s="832"/>
      <c r="H174" s="829"/>
      <c r="I174" s="832"/>
      <c r="J174" s="881"/>
      <c r="K174" s="832"/>
      <c r="L174" s="874"/>
      <c r="M174" s="874"/>
      <c r="N174" s="875"/>
      <c r="O174" s="832"/>
      <c r="P174" s="829"/>
      <c r="Q174" s="832"/>
      <c r="R174" s="832"/>
      <c r="S174" s="832"/>
      <c r="T174" s="876"/>
      <c r="U174" s="494"/>
      <c r="V174" s="494"/>
    </row>
    <row r="175" spans="1:22" x14ac:dyDescent="0.25">
      <c r="A175" s="836" t="s">
        <v>0</v>
      </c>
      <c r="B175" s="655" t="str">
        <f t="shared" ref="B175:B183" si="154">+B148</f>
        <v>Személyi juttatások</v>
      </c>
      <c r="C175" s="824">
        <f>+'9. Közp. Konyha'!C13</f>
        <v>28479750</v>
      </c>
      <c r="D175" s="647">
        <f>+'9. Közp. Konyha'!D13</f>
        <v>28479750</v>
      </c>
      <c r="E175" s="647">
        <f>+'9. Közp. Konyha'!E13</f>
        <v>28479750</v>
      </c>
      <c r="F175" s="837">
        <f>+'9. Közp. Konyha'!F13</f>
        <v>28268044</v>
      </c>
      <c r="G175" s="647"/>
      <c r="H175" s="824">
        <f>+'9. Közp. Konyha'!H13</f>
        <v>12457606</v>
      </c>
      <c r="I175" s="647">
        <f>+'9. Közp. Konyha'!I13</f>
        <v>18355959</v>
      </c>
      <c r="J175" s="775">
        <f>+'9. Közp. Konyha'!J13</f>
        <v>25382833</v>
      </c>
      <c r="K175" s="647"/>
      <c r="L175" s="838">
        <f t="shared" si="127"/>
        <v>0.43741978072138976</v>
      </c>
      <c r="M175" s="838">
        <f t="shared" si="128"/>
        <v>0.64452669001659069</v>
      </c>
      <c r="N175" s="839">
        <f t="shared" si="129"/>
        <v>0.8979338294506688</v>
      </c>
      <c r="O175" s="647"/>
      <c r="P175" s="824">
        <f>+'9. Közp. Konyha'!P13</f>
        <v>0</v>
      </c>
      <c r="Q175" s="647">
        <f>+'9. Közp. Konyha'!Q13</f>
        <v>0</v>
      </c>
      <c r="R175" s="647">
        <f>+'9. Közp. Konyha'!R13</f>
        <v>-211706</v>
      </c>
      <c r="S175" s="647">
        <f>+'9. Közp. Konyha'!S13</f>
        <v>-211706</v>
      </c>
      <c r="T175" s="840">
        <f t="shared" ref="T175:T184" si="155">IF(C175=0,0,S175/C175)</f>
        <v>-7.4335624434905502E-3</v>
      </c>
      <c r="U175" s="494"/>
      <c r="V175" s="494"/>
    </row>
    <row r="176" spans="1:22" x14ac:dyDescent="0.25">
      <c r="A176" s="836" t="s">
        <v>27</v>
      </c>
      <c r="B176" s="655" t="str">
        <f t="shared" si="154"/>
        <v>Munkaadót terhelő járulékok és szociális hozzájárulás</v>
      </c>
      <c r="C176" s="824">
        <f>+'9. Közp. Konyha'!C29</f>
        <v>5477891.25</v>
      </c>
      <c r="D176" s="647">
        <f>+'9. Közp. Konyha'!D29</f>
        <v>5477891</v>
      </c>
      <c r="E176" s="647">
        <f>+'9. Közp. Konyha'!E29</f>
        <v>5477891</v>
      </c>
      <c r="F176" s="837">
        <f>+'9. Közp. Konyha'!F29</f>
        <v>5689597</v>
      </c>
      <c r="G176" s="647"/>
      <c r="H176" s="824">
        <f>+'9. Közp. Konyha'!H29</f>
        <v>3010560</v>
      </c>
      <c r="I176" s="647">
        <f>+'9. Közp. Konyha'!I29</f>
        <v>4356993</v>
      </c>
      <c r="J176" s="775">
        <f>+'9. Közp. Konyha'!J29</f>
        <v>5689597</v>
      </c>
      <c r="K176" s="647"/>
      <c r="L176" s="838">
        <f t="shared" si="127"/>
        <v>0.54958377229484856</v>
      </c>
      <c r="M176" s="838">
        <f t="shared" si="128"/>
        <v>0.79537781967549193</v>
      </c>
      <c r="N176" s="839">
        <f t="shared" si="129"/>
        <v>1</v>
      </c>
      <c r="O176" s="647"/>
      <c r="P176" s="824">
        <f>+'9. Közp. Konyha'!P29</f>
        <v>-0.25</v>
      </c>
      <c r="Q176" s="647">
        <f>+'9. Közp. Konyha'!Q29</f>
        <v>0</v>
      </c>
      <c r="R176" s="647">
        <f>+'9. Közp. Konyha'!R29</f>
        <v>211706</v>
      </c>
      <c r="S176" s="647">
        <f>+'9. Közp. Konyha'!S29</f>
        <v>211705.75</v>
      </c>
      <c r="T176" s="840">
        <f t="shared" si="155"/>
        <v>3.8647307939893842E-2</v>
      </c>
      <c r="U176" s="494"/>
      <c r="V176" s="494"/>
    </row>
    <row r="177" spans="1:22" x14ac:dyDescent="0.25">
      <c r="A177" s="836" t="s">
        <v>30</v>
      </c>
      <c r="B177" s="655" t="str">
        <f t="shared" si="154"/>
        <v>Dologi kiadások</v>
      </c>
      <c r="C177" s="824">
        <f>+'9. Közp. Konyha'!C32</f>
        <v>67166000</v>
      </c>
      <c r="D177" s="647">
        <f>+'9. Közp. Konyha'!D32</f>
        <v>67119689</v>
      </c>
      <c r="E177" s="647">
        <f>+'9. Közp. Konyha'!E32</f>
        <v>66912132</v>
      </c>
      <c r="F177" s="837">
        <f>+'9. Közp. Konyha'!F32</f>
        <v>69412132</v>
      </c>
      <c r="G177" s="647"/>
      <c r="H177" s="824">
        <f>+'9. Közp. Konyha'!H32</f>
        <v>35894094</v>
      </c>
      <c r="I177" s="647">
        <f>+'9. Közp. Konyha'!I32</f>
        <v>44860861</v>
      </c>
      <c r="J177" s="775">
        <f>+'9. Közp. Konyha'!J32</f>
        <v>64745473</v>
      </c>
      <c r="K177" s="647"/>
      <c r="L177" s="838">
        <f t="shared" si="127"/>
        <v>0.53477741829226888</v>
      </c>
      <c r="M177" s="838">
        <f t="shared" si="128"/>
        <v>0.6704443523037048</v>
      </c>
      <c r="N177" s="839">
        <f t="shared" si="129"/>
        <v>0.93276882778935533</v>
      </c>
      <c r="O177" s="647"/>
      <c r="P177" s="824">
        <f>+'9. Közp. Konyha'!P32</f>
        <v>-46311</v>
      </c>
      <c r="Q177" s="647">
        <f>+'9. Közp. Konyha'!Q32</f>
        <v>-207557</v>
      </c>
      <c r="R177" s="647">
        <f>+'9. Közp. Konyha'!R32</f>
        <v>2500000</v>
      </c>
      <c r="S177" s="647">
        <f>+'9. Közp. Konyha'!S32</f>
        <v>2246132</v>
      </c>
      <c r="T177" s="840">
        <f t="shared" si="155"/>
        <v>3.3441503141470388E-2</v>
      </c>
      <c r="U177" s="494"/>
      <c r="V177" s="494"/>
    </row>
    <row r="178" spans="1:22" x14ac:dyDescent="0.25">
      <c r="A178" s="836" t="s">
        <v>112</v>
      </c>
      <c r="B178" s="655" t="str">
        <f t="shared" si="154"/>
        <v>Elláttotak pénzbeli juttatásai</v>
      </c>
      <c r="C178" s="824"/>
      <c r="D178" s="647"/>
      <c r="E178" s="647"/>
      <c r="F178" s="837"/>
      <c r="G178" s="647"/>
      <c r="H178" s="824"/>
      <c r="I178" s="647"/>
      <c r="J178" s="775"/>
      <c r="K178" s="647"/>
      <c r="L178" s="838">
        <f t="shared" si="127"/>
        <v>0</v>
      </c>
      <c r="M178" s="838">
        <f t="shared" si="128"/>
        <v>0</v>
      </c>
      <c r="N178" s="839">
        <f t="shared" si="129"/>
        <v>0</v>
      </c>
      <c r="O178" s="647"/>
      <c r="P178" s="824"/>
      <c r="Q178" s="647"/>
      <c r="R178" s="647"/>
      <c r="S178" s="647"/>
      <c r="T178" s="840">
        <f t="shared" si="155"/>
        <v>0</v>
      </c>
      <c r="U178" s="494"/>
      <c r="V178" s="494"/>
    </row>
    <row r="179" spans="1:22" x14ac:dyDescent="0.25">
      <c r="A179" s="841" t="s">
        <v>378</v>
      </c>
      <c r="B179" s="655" t="str">
        <f t="shared" si="154"/>
        <v>Egyéb működési célú kiadások</v>
      </c>
      <c r="C179" s="824"/>
      <c r="D179" s="647"/>
      <c r="E179" s="647"/>
      <c r="F179" s="837"/>
      <c r="G179" s="647"/>
      <c r="H179" s="824"/>
      <c r="I179" s="647"/>
      <c r="J179" s="775"/>
      <c r="K179" s="647"/>
      <c r="L179" s="838">
        <f t="shared" si="127"/>
        <v>0</v>
      </c>
      <c r="M179" s="838">
        <f t="shared" si="128"/>
        <v>0</v>
      </c>
      <c r="N179" s="839">
        <f t="shared" si="129"/>
        <v>0</v>
      </c>
      <c r="O179" s="647"/>
      <c r="P179" s="824"/>
      <c r="Q179" s="647"/>
      <c r="R179" s="647"/>
      <c r="S179" s="647"/>
      <c r="T179" s="840">
        <f t="shared" si="155"/>
        <v>0</v>
      </c>
      <c r="U179" s="494"/>
      <c r="V179" s="494"/>
    </row>
    <row r="180" spans="1:22" x14ac:dyDescent="0.25">
      <c r="A180" s="836" t="s">
        <v>159</v>
      </c>
      <c r="B180" s="655" t="str">
        <f t="shared" si="154"/>
        <v>Beruházások</v>
      </c>
      <c r="C180" s="824">
        <f>+'9. Közp. Konyha'!C83</f>
        <v>750000</v>
      </c>
      <c r="D180" s="647">
        <f>+'9. Közp. Konyha'!D83</f>
        <v>5558811</v>
      </c>
      <c r="E180" s="647">
        <f>+'9. Közp. Konyha'!E83</f>
        <v>5766368</v>
      </c>
      <c r="F180" s="837">
        <f>+'9. Közp. Konyha'!F83</f>
        <v>5766368</v>
      </c>
      <c r="G180" s="647"/>
      <c r="H180" s="824">
        <f>+'9. Közp. Konyha'!H83</f>
        <v>5558811</v>
      </c>
      <c r="I180" s="647">
        <f>+'9. Közp. Konyha'!I83</f>
        <v>5766368</v>
      </c>
      <c r="J180" s="775">
        <f>+'9. Közp. Konyha'!J83</f>
        <v>5766368</v>
      </c>
      <c r="K180" s="647"/>
      <c r="L180" s="838">
        <f t="shared" si="127"/>
        <v>1</v>
      </c>
      <c r="M180" s="838">
        <f t="shared" si="128"/>
        <v>1</v>
      </c>
      <c r="N180" s="839">
        <f t="shared" si="129"/>
        <v>1</v>
      </c>
      <c r="O180" s="647"/>
      <c r="P180" s="824">
        <f>+'9. Közp. Konyha'!P83</f>
        <v>4808811</v>
      </c>
      <c r="Q180" s="647">
        <f>+'9. Közp. Konyha'!Q83</f>
        <v>207557</v>
      </c>
      <c r="R180" s="647">
        <f>+'9. Közp. Konyha'!R83</f>
        <v>0</v>
      </c>
      <c r="S180" s="647">
        <f>+'9. Közp. Konyha'!S83</f>
        <v>5016368</v>
      </c>
      <c r="T180" s="840">
        <f t="shared" si="155"/>
        <v>6.6884906666666666</v>
      </c>
      <c r="U180" s="494"/>
      <c r="V180" s="494"/>
    </row>
    <row r="181" spans="1:22" x14ac:dyDescent="0.25">
      <c r="A181" s="836" t="s">
        <v>174</v>
      </c>
      <c r="B181" s="655" t="str">
        <f t="shared" si="154"/>
        <v>Felújítások</v>
      </c>
      <c r="C181" s="824">
        <f>+'9. Közp. Konyha'!C86</f>
        <v>0</v>
      </c>
      <c r="D181" s="647">
        <f>+'9. Közp. Konyha'!D86</f>
        <v>0</v>
      </c>
      <c r="E181" s="647">
        <f>+'9. Közp. Konyha'!E86</f>
        <v>0</v>
      </c>
      <c r="F181" s="837">
        <f>+'9. Közp. Konyha'!F86</f>
        <v>0</v>
      </c>
      <c r="G181" s="647"/>
      <c r="H181" s="824">
        <f>+'9. Közp. Konyha'!H86</f>
        <v>0</v>
      </c>
      <c r="I181" s="647">
        <f>+'9. Közp. Konyha'!I86</f>
        <v>0</v>
      </c>
      <c r="J181" s="775">
        <f>+'9. Közp. Konyha'!J86</f>
        <v>0</v>
      </c>
      <c r="K181" s="647"/>
      <c r="L181" s="838">
        <f t="shared" si="127"/>
        <v>0</v>
      </c>
      <c r="M181" s="838">
        <f t="shared" si="128"/>
        <v>0</v>
      </c>
      <c r="N181" s="839">
        <f t="shared" si="129"/>
        <v>0</v>
      </c>
      <c r="O181" s="647"/>
      <c r="P181" s="824">
        <f>+'9. Közp. Konyha'!P86</f>
        <v>0</v>
      </c>
      <c r="Q181" s="647">
        <f>+'9. Közp. Konyha'!Q86</f>
        <v>0</v>
      </c>
      <c r="R181" s="647">
        <f>+'9. Közp. Konyha'!R86</f>
        <v>0</v>
      </c>
      <c r="S181" s="647">
        <f>+'9. Közp. Konyha'!S86</f>
        <v>0</v>
      </c>
      <c r="T181" s="840">
        <f t="shared" si="155"/>
        <v>0</v>
      </c>
      <c r="U181" s="494"/>
      <c r="V181" s="494"/>
    </row>
    <row r="182" spans="1:22" x14ac:dyDescent="0.25">
      <c r="A182" s="836" t="s">
        <v>184</v>
      </c>
      <c r="B182" s="655" t="str">
        <f t="shared" si="154"/>
        <v>Szolgáltatások kiadásai</v>
      </c>
      <c r="C182" s="824"/>
      <c r="D182" s="647"/>
      <c r="E182" s="647"/>
      <c r="F182" s="837"/>
      <c r="G182" s="647"/>
      <c r="H182" s="824"/>
      <c r="I182" s="647"/>
      <c r="J182" s="775"/>
      <c r="K182" s="647"/>
      <c r="L182" s="838">
        <f t="shared" si="127"/>
        <v>0</v>
      </c>
      <c r="M182" s="838">
        <f t="shared" si="128"/>
        <v>0</v>
      </c>
      <c r="N182" s="839">
        <f t="shared" si="129"/>
        <v>0</v>
      </c>
      <c r="O182" s="647"/>
      <c r="P182" s="824"/>
      <c r="Q182" s="647"/>
      <c r="R182" s="647"/>
      <c r="S182" s="647"/>
      <c r="T182" s="840">
        <f t="shared" si="155"/>
        <v>0</v>
      </c>
      <c r="U182" s="494"/>
      <c r="V182" s="494"/>
    </row>
    <row r="183" spans="1:22" x14ac:dyDescent="0.25">
      <c r="A183" s="836" t="s">
        <v>202</v>
      </c>
      <c r="B183" s="655" t="str">
        <f t="shared" si="154"/>
        <v>Finanszírozási kiadások</v>
      </c>
      <c r="C183" s="824"/>
      <c r="D183" s="647"/>
      <c r="E183" s="647"/>
      <c r="F183" s="837"/>
      <c r="G183" s="647"/>
      <c r="H183" s="824"/>
      <c r="I183" s="647"/>
      <c r="J183" s="775"/>
      <c r="K183" s="647"/>
      <c r="L183" s="838">
        <f t="shared" si="127"/>
        <v>0</v>
      </c>
      <c r="M183" s="838">
        <f t="shared" si="128"/>
        <v>0</v>
      </c>
      <c r="N183" s="839">
        <f t="shared" si="129"/>
        <v>0</v>
      </c>
      <c r="O183" s="647"/>
      <c r="P183" s="824"/>
      <c r="Q183" s="647"/>
      <c r="R183" s="647"/>
      <c r="S183" s="647"/>
      <c r="T183" s="840">
        <f t="shared" si="155"/>
        <v>0</v>
      </c>
      <c r="U183" s="494"/>
      <c r="V183" s="494"/>
    </row>
    <row r="184" spans="1:22" x14ac:dyDescent="0.25">
      <c r="A184" s="842"/>
      <c r="B184" s="843" t="s">
        <v>380</v>
      </c>
      <c r="C184" s="844">
        <f>SUM(C175:C183)</f>
        <v>101873641.25</v>
      </c>
      <c r="D184" s="845">
        <f t="shared" ref="D184:F184" si="156">SUM(D175:D183)</f>
        <v>106636141</v>
      </c>
      <c r="E184" s="845">
        <f t="shared" si="156"/>
        <v>106636141</v>
      </c>
      <c r="F184" s="846">
        <f t="shared" si="156"/>
        <v>109136141</v>
      </c>
      <c r="G184" s="845"/>
      <c r="H184" s="844">
        <f t="shared" ref="H184:J184" si="157">SUM(H175:H183)</f>
        <v>56921071</v>
      </c>
      <c r="I184" s="845">
        <f t="shared" si="157"/>
        <v>73340181</v>
      </c>
      <c r="J184" s="847">
        <f t="shared" si="157"/>
        <v>101584271</v>
      </c>
      <c r="K184" s="848"/>
      <c r="L184" s="849">
        <f t="shared" si="127"/>
        <v>0.53378779901647044</v>
      </c>
      <c r="M184" s="849">
        <f t="shared" si="128"/>
        <v>0.68776101903387521</v>
      </c>
      <c r="N184" s="850">
        <f t="shared" si="129"/>
        <v>0.93080321577432357</v>
      </c>
      <c r="O184" s="848"/>
      <c r="P184" s="844">
        <f t="shared" ref="P184:S184" si="158">SUM(P175:P183)</f>
        <v>4762499.75</v>
      </c>
      <c r="Q184" s="845">
        <f t="shared" si="158"/>
        <v>0</v>
      </c>
      <c r="R184" s="845">
        <f t="shared" si="158"/>
        <v>2500000</v>
      </c>
      <c r="S184" s="847">
        <f t="shared" si="158"/>
        <v>7262499.75</v>
      </c>
      <c r="T184" s="851">
        <f t="shared" si="155"/>
        <v>7.1289291919758482E-2</v>
      </c>
      <c r="U184" s="494"/>
      <c r="V184" s="494"/>
    </row>
    <row r="185" spans="1:22" x14ac:dyDescent="0.25">
      <c r="A185" s="860"/>
      <c r="B185" s="647"/>
      <c r="C185" s="824"/>
      <c r="D185" s="647"/>
      <c r="E185" s="647"/>
      <c r="F185" s="837"/>
      <c r="G185" s="647"/>
      <c r="H185" s="824"/>
      <c r="I185" s="647"/>
      <c r="J185" s="775"/>
      <c r="K185" s="647"/>
      <c r="L185" s="838"/>
      <c r="M185" s="838"/>
      <c r="N185" s="839"/>
      <c r="O185" s="647"/>
      <c r="P185" s="824"/>
      <c r="Q185" s="647"/>
      <c r="R185" s="647"/>
      <c r="S185" s="647"/>
      <c r="T185" s="840"/>
      <c r="U185" s="494"/>
      <c r="V185" s="494"/>
    </row>
    <row r="186" spans="1:22" x14ac:dyDescent="0.25">
      <c r="A186" s="836" t="str">
        <f>+A159</f>
        <v>B1</v>
      </c>
      <c r="B186" s="655" t="str">
        <f>+B159</f>
        <v>Működési célú tám-ok államháztartáson belülről</v>
      </c>
      <c r="C186" s="824">
        <f>+'9. Közp. Konyha'!C93</f>
        <v>0</v>
      </c>
      <c r="D186" s="647">
        <f>+'9. Közp. Konyha'!D93</f>
        <v>0</v>
      </c>
      <c r="E186" s="647">
        <f>+'9. Közp. Konyha'!E93</f>
        <v>0</v>
      </c>
      <c r="F186" s="837">
        <f>+'9. Közp. Konyha'!F93</f>
        <v>0</v>
      </c>
      <c r="G186" s="647"/>
      <c r="H186" s="824">
        <f>+'9. Közp. Konyha'!H93</f>
        <v>0</v>
      </c>
      <c r="I186" s="647">
        <f>+'9. Közp. Konyha'!I93</f>
        <v>0</v>
      </c>
      <c r="J186" s="775">
        <f>+'9. Közp. Konyha'!J93</f>
        <v>0</v>
      </c>
      <c r="K186" s="647"/>
      <c r="L186" s="838">
        <f t="shared" si="127"/>
        <v>0</v>
      </c>
      <c r="M186" s="838">
        <f t="shared" si="128"/>
        <v>0</v>
      </c>
      <c r="N186" s="839">
        <f t="shared" si="129"/>
        <v>0</v>
      </c>
      <c r="O186" s="647"/>
      <c r="P186" s="824">
        <f>+'9. Közp. Konyha'!P93</f>
        <v>0</v>
      </c>
      <c r="Q186" s="647">
        <f>+'9. Közp. Konyha'!Q93</f>
        <v>0</v>
      </c>
      <c r="R186" s="647">
        <f>+'9. Közp. Konyha'!R93</f>
        <v>0</v>
      </c>
      <c r="S186" s="647">
        <f>+'9. Közp. Konyha'!S93</f>
        <v>0</v>
      </c>
      <c r="T186" s="840">
        <f t="shared" ref="T186:T195" si="159">IF(C186=0,0,S186/C186)</f>
        <v>0</v>
      </c>
      <c r="U186" s="494"/>
      <c r="V186" s="494"/>
    </row>
    <row r="187" spans="1:22" x14ac:dyDescent="0.25">
      <c r="A187" s="836" t="str">
        <f t="shared" ref="A187:B187" si="160">+A160</f>
        <v>B2</v>
      </c>
      <c r="B187" s="655" t="str">
        <f t="shared" si="160"/>
        <v>Felhalmozási célú tám-ok államházt-on belülről</v>
      </c>
      <c r="C187" s="824"/>
      <c r="D187" s="647"/>
      <c r="E187" s="647"/>
      <c r="F187" s="837"/>
      <c r="G187" s="647"/>
      <c r="H187" s="824"/>
      <c r="I187" s="647"/>
      <c r="J187" s="775"/>
      <c r="K187" s="647"/>
      <c r="L187" s="838">
        <f t="shared" si="127"/>
        <v>0</v>
      </c>
      <c r="M187" s="838">
        <f t="shared" si="128"/>
        <v>0</v>
      </c>
      <c r="N187" s="839">
        <f t="shared" si="129"/>
        <v>0</v>
      </c>
      <c r="O187" s="647"/>
      <c r="P187" s="824"/>
      <c r="Q187" s="647"/>
      <c r="R187" s="647"/>
      <c r="S187" s="647"/>
      <c r="T187" s="840">
        <f t="shared" si="159"/>
        <v>0</v>
      </c>
      <c r="U187" s="494"/>
      <c r="V187" s="494"/>
    </row>
    <row r="188" spans="1:22" x14ac:dyDescent="0.25">
      <c r="A188" s="836" t="str">
        <f t="shared" ref="A188:B188" si="161">+A161</f>
        <v>B3</v>
      </c>
      <c r="B188" s="655" t="str">
        <f t="shared" si="161"/>
        <v>Közhatalmi bevételek</v>
      </c>
      <c r="C188" s="824"/>
      <c r="D188" s="647"/>
      <c r="E188" s="647"/>
      <c r="F188" s="837"/>
      <c r="G188" s="647"/>
      <c r="H188" s="824"/>
      <c r="I188" s="647"/>
      <c r="J188" s="775"/>
      <c r="K188" s="647"/>
      <c r="L188" s="838">
        <f t="shared" si="127"/>
        <v>0</v>
      </c>
      <c r="M188" s="838">
        <f t="shared" si="128"/>
        <v>0</v>
      </c>
      <c r="N188" s="839">
        <f t="shared" si="129"/>
        <v>0</v>
      </c>
      <c r="O188" s="647"/>
      <c r="P188" s="824"/>
      <c r="Q188" s="647"/>
      <c r="R188" s="647"/>
      <c r="S188" s="647"/>
      <c r="T188" s="840">
        <f t="shared" si="159"/>
        <v>0</v>
      </c>
      <c r="U188" s="494"/>
      <c r="V188" s="494"/>
    </row>
    <row r="189" spans="1:22" x14ac:dyDescent="0.25">
      <c r="A189" s="836" t="str">
        <f t="shared" ref="A189:B189" si="162">+A162</f>
        <v>B4</v>
      </c>
      <c r="B189" s="655" t="str">
        <f t="shared" si="162"/>
        <v>Működési bevételek</v>
      </c>
      <c r="C189" s="824">
        <f>+'9. Közp. Konyha'!C95</f>
        <v>28181000</v>
      </c>
      <c r="D189" s="647">
        <f>+'9. Közp. Konyha'!D95</f>
        <v>28181000</v>
      </c>
      <c r="E189" s="647">
        <f>+'9. Közp. Konyha'!E95</f>
        <v>28181000</v>
      </c>
      <c r="F189" s="837">
        <f>+'9. Közp. Konyha'!F95</f>
        <v>29152019</v>
      </c>
      <c r="G189" s="647"/>
      <c r="H189" s="824">
        <f>+'9. Közp. Konyha'!H95</f>
        <v>14943138</v>
      </c>
      <c r="I189" s="647">
        <f>+'9. Közp. Konyha'!I95</f>
        <v>18250951</v>
      </c>
      <c r="J189" s="775">
        <f>+'9. Közp. Konyha'!J95</f>
        <v>26409403</v>
      </c>
      <c r="K189" s="647"/>
      <c r="L189" s="838">
        <f t="shared" si="127"/>
        <v>0.5302557751676662</v>
      </c>
      <c r="M189" s="838">
        <f t="shared" si="128"/>
        <v>0.64763319257655871</v>
      </c>
      <c r="N189" s="839">
        <f t="shared" si="129"/>
        <v>0.90592020401743012</v>
      </c>
      <c r="O189" s="647"/>
      <c r="P189" s="824">
        <f>+'9. Közp. Konyha'!P95</f>
        <v>0</v>
      </c>
      <c r="Q189" s="647">
        <f>+'9. Közp. Konyha'!Q95</f>
        <v>0</v>
      </c>
      <c r="R189" s="647">
        <f>+'9. Közp. Konyha'!R95</f>
        <v>971019</v>
      </c>
      <c r="S189" s="647">
        <f>+'9. Közp. Konyha'!S95</f>
        <v>971019</v>
      </c>
      <c r="T189" s="840">
        <f t="shared" si="159"/>
        <v>3.4456513253610592E-2</v>
      </c>
      <c r="U189" s="494"/>
      <c r="V189" s="494"/>
    </row>
    <row r="190" spans="1:22" x14ac:dyDescent="0.25">
      <c r="A190" s="836" t="str">
        <f t="shared" ref="A190:B190" si="163">+A163</f>
        <v>B5</v>
      </c>
      <c r="B190" s="655" t="str">
        <f t="shared" si="163"/>
        <v>Felhalmozási bevételek</v>
      </c>
      <c r="C190" s="824"/>
      <c r="D190" s="647"/>
      <c r="E190" s="647"/>
      <c r="F190" s="837"/>
      <c r="G190" s="647"/>
      <c r="H190" s="824"/>
      <c r="I190" s="647"/>
      <c r="J190" s="775"/>
      <c r="K190" s="647"/>
      <c r="L190" s="838">
        <f t="shared" si="127"/>
        <v>0</v>
      </c>
      <c r="M190" s="838">
        <f t="shared" si="128"/>
        <v>0</v>
      </c>
      <c r="N190" s="839">
        <f t="shared" si="129"/>
        <v>0</v>
      </c>
      <c r="O190" s="647"/>
      <c r="P190" s="824"/>
      <c r="Q190" s="647"/>
      <c r="R190" s="647"/>
      <c r="S190" s="647"/>
      <c r="T190" s="840">
        <f t="shared" si="159"/>
        <v>0</v>
      </c>
      <c r="U190" s="494"/>
      <c r="V190" s="494"/>
    </row>
    <row r="191" spans="1:22" x14ac:dyDescent="0.25">
      <c r="A191" s="836" t="str">
        <f t="shared" ref="A191:B191" si="164">+A164</f>
        <v>B6</v>
      </c>
      <c r="B191" s="655" t="str">
        <f t="shared" si="164"/>
        <v>Működési célú átvett pénzeszközök</v>
      </c>
      <c r="C191" s="824"/>
      <c r="D191" s="647"/>
      <c r="E191" s="647"/>
      <c r="F191" s="837"/>
      <c r="G191" s="647"/>
      <c r="H191" s="824"/>
      <c r="I191" s="647"/>
      <c r="J191" s="775"/>
      <c r="K191" s="647"/>
      <c r="L191" s="838">
        <f t="shared" si="127"/>
        <v>0</v>
      </c>
      <c r="M191" s="838">
        <f t="shared" si="128"/>
        <v>0</v>
      </c>
      <c r="N191" s="839">
        <f t="shared" si="129"/>
        <v>0</v>
      </c>
      <c r="O191" s="647"/>
      <c r="P191" s="824"/>
      <c r="Q191" s="647"/>
      <c r="R191" s="647"/>
      <c r="S191" s="647"/>
      <c r="T191" s="840">
        <f t="shared" si="159"/>
        <v>0</v>
      </c>
      <c r="U191" s="494"/>
      <c r="V191" s="494"/>
    </row>
    <row r="192" spans="1:22" x14ac:dyDescent="0.25">
      <c r="A192" s="836" t="str">
        <f t="shared" ref="A192:B192" si="165">+A165</f>
        <v>B7</v>
      </c>
      <c r="B192" s="655" t="str">
        <f t="shared" si="165"/>
        <v>Felhalmozási célú átvett pénzeszközök</v>
      </c>
      <c r="C192" s="824"/>
      <c r="D192" s="647"/>
      <c r="E192" s="647"/>
      <c r="F192" s="837"/>
      <c r="G192" s="647"/>
      <c r="H192" s="824"/>
      <c r="I192" s="647"/>
      <c r="J192" s="775"/>
      <c r="K192" s="647"/>
      <c r="L192" s="838">
        <f t="shared" si="127"/>
        <v>0</v>
      </c>
      <c r="M192" s="838">
        <f t="shared" si="128"/>
        <v>0</v>
      </c>
      <c r="N192" s="839">
        <f t="shared" si="129"/>
        <v>0</v>
      </c>
      <c r="O192" s="647"/>
      <c r="P192" s="824"/>
      <c r="Q192" s="647"/>
      <c r="R192" s="647"/>
      <c r="S192" s="647"/>
      <c r="T192" s="840">
        <f t="shared" si="159"/>
        <v>0</v>
      </c>
      <c r="U192" s="494"/>
      <c r="V192" s="494"/>
    </row>
    <row r="193" spans="1:22" x14ac:dyDescent="0.25">
      <c r="A193" s="836" t="str">
        <f t="shared" ref="A193" si="166">+A166</f>
        <v>B8-ból maradványértéken túli finanszírozási bevételek</v>
      </c>
      <c r="B193" s="655"/>
      <c r="C193" s="824">
        <f>+'9. Közp. Konyha'!C99-C194</f>
        <v>68143642.25</v>
      </c>
      <c r="D193" s="647">
        <f>+'9. Közp. Konyha'!D99-D194</f>
        <v>72906142</v>
      </c>
      <c r="E193" s="647">
        <f>+'9. Közp. Konyha'!E99-E194</f>
        <v>72906142</v>
      </c>
      <c r="F193" s="837">
        <f>+'9. Közp. Konyha'!F99-F194</f>
        <v>74435123</v>
      </c>
      <c r="G193" s="647"/>
      <c r="H193" s="824">
        <f>+'9. Közp. Konyha'!H99-H194</f>
        <v>40129992</v>
      </c>
      <c r="I193" s="647">
        <f>+'9. Közp. Konyha'!I99-I194</f>
        <v>57212793</v>
      </c>
      <c r="J193" s="775">
        <f>+'9. Közp. Konyha'!J99-J194</f>
        <v>74435123</v>
      </c>
      <c r="K193" s="647"/>
      <c r="L193" s="838">
        <f t="shared" si="127"/>
        <v>0.55043362464578083</v>
      </c>
      <c r="M193" s="838">
        <f t="shared" si="128"/>
        <v>0.78474585858623547</v>
      </c>
      <c r="N193" s="839">
        <f t="shared" si="129"/>
        <v>1</v>
      </c>
      <c r="O193" s="647"/>
      <c r="P193" s="824">
        <f>+'9. Közp. Konyha'!P99-P194</f>
        <v>4762499.75</v>
      </c>
      <c r="Q193" s="647">
        <f>+'9. Közp. Konyha'!Q99-Q194</f>
        <v>0</v>
      </c>
      <c r="R193" s="647">
        <f>+'9. Közp. Konyha'!R99-R194</f>
        <v>1528981</v>
      </c>
      <c r="S193" s="647">
        <f>+'9. Közp. Konyha'!S99-S194</f>
        <v>6291480.75</v>
      </c>
      <c r="T193" s="840">
        <f t="shared" si="159"/>
        <v>9.2326746006888116E-2</v>
      </c>
      <c r="U193" s="494"/>
      <c r="V193" s="494"/>
    </row>
    <row r="194" spans="1:22" x14ac:dyDescent="0.25">
      <c r="A194" s="836" t="str">
        <f t="shared" ref="A194" si="167">+A167</f>
        <v>B8-ból előző évi mardvány igénybevétele</v>
      </c>
      <c r="B194" s="655"/>
      <c r="C194" s="824">
        <f>+'9. Közp. Konyha'!C101</f>
        <v>5548999</v>
      </c>
      <c r="D194" s="647">
        <f>+'9. Közp. Konyha'!D101</f>
        <v>5548999</v>
      </c>
      <c r="E194" s="647">
        <f>+'9. Közp. Konyha'!E101</f>
        <v>5548999</v>
      </c>
      <c r="F194" s="837">
        <f>+'9. Közp. Konyha'!F101</f>
        <v>5548999</v>
      </c>
      <c r="G194" s="647"/>
      <c r="H194" s="824">
        <f>+'9. Közp. Konyha'!H101</f>
        <v>5548999</v>
      </c>
      <c r="I194" s="647">
        <f>+'9. Közp. Konyha'!I101</f>
        <v>5548999</v>
      </c>
      <c r="J194" s="775">
        <f>+'9. Közp. Konyha'!J101</f>
        <v>5548999</v>
      </c>
      <c r="K194" s="647"/>
      <c r="L194" s="838">
        <f t="shared" si="127"/>
        <v>1</v>
      </c>
      <c r="M194" s="838">
        <f t="shared" si="128"/>
        <v>1</v>
      </c>
      <c r="N194" s="839">
        <f t="shared" si="129"/>
        <v>1</v>
      </c>
      <c r="O194" s="647"/>
      <c r="P194" s="824">
        <f>+'9. Közp. Konyha'!P101</f>
        <v>0</v>
      </c>
      <c r="Q194" s="647">
        <f>+'9. Közp. Konyha'!Q101</f>
        <v>0</v>
      </c>
      <c r="R194" s="647">
        <f>+'9. Közp. Konyha'!R101</f>
        <v>0</v>
      </c>
      <c r="S194" s="647">
        <f>+'9. Közp. Konyha'!S101</f>
        <v>0</v>
      </c>
      <c r="T194" s="840">
        <f t="shared" si="159"/>
        <v>0</v>
      </c>
      <c r="U194" s="494"/>
      <c r="V194" s="494"/>
    </row>
    <row r="195" spans="1:22" x14ac:dyDescent="0.25">
      <c r="A195" s="856"/>
      <c r="B195" s="843" t="s">
        <v>379</v>
      </c>
      <c r="C195" s="844">
        <f>SUM(C186:C194)</f>
        <v>101873641.25</v>
      </c>
      <c r="D195" s="845">
        <f t="shared" ref="D195" si="168">SUM(D186:D194)</f>
        <v>106636141</v>
      </c>
      <c r="E195" s="845">
        <f t="shared" ref="E195" si="169">SUM(E186:E194)</f>
        <v>106636141</v>
      </c>
      <c r="F195" s="846">
        <f t="shared" ref="F195" si="170">SUM(F186:F194)</f>
        <v>109136141</v>
      </c>
      <c r="G195" s="845"/>
      <c r="H195" s="844">
        <f t="shared" ref="H195" si="171">SUM(H186:H194)</f>
        <v>60622129</v>
      </c>
      <c r="I195" s="845">
        <f t="shared" ref="I195" si="172">SUM(I186:I194)</f>
        <v>81012743</v>
      </c>
      <c r="J195" s="847">
        <f t="shared" ref="J195" si="173">SUM(J186:J194)</f>
        <v>106393525</v>
      </c>
      <c r="K195" s="857"/>
      <c r="L195" s="858">
        <f t="shared" si="127"/>
        <v>0.56849515025117048</v>
      </c>
      <c r="M195" s="858">
        <f t="shared" si="128"/>
        <v>0.75971187854594247</v>
      </c>
      <c r="N195" s="859">
        <f t="shared" si="129"/>
        <v>0.9748697729746556</v>
      </c>
      <c r="O195" s="857"/>
      <c r="P195" s="844">
        <f t="shared" ref="P195" si="174">SUM(P186:P194)</f>
        <v>4762499.75</v>
      </c>
      <c r="Q195" s="845">
        <f t="shared" ref="Q195" si="175">SUM(Q186:Q194)</f>
        <v>0</v>
      </c>
      <c r="R195" s="845">
        <f t="shared" ref="R195" si="176">SUM(R186:R194)</f>
        <v>2500000</v>
      </c>
      <c r="S195" s="847">
        <f t="shared" ref="S195" si="177">SUM(S186:S194)</f>
        <v>7262499.75</v>
      </c>
      <c r="T195" s="851">
        <f t="shared" si="159"/>
        <v>7.1289291919758482E-2</v>
      </c>
      <c r="U195" s="494"/>
      <c r="V195" s="494"/>
    </row>
    <row r="196" spans="1:22" x14ac:dyDescent="0.25">
      <c r="A196" s="860"/>
      <c r="B196" s="593"/>
      <c r="C196" s="860"/>
      <c r="D196" s="653"/>
      <c r="E196" s="653"/>
      <c r="F196" s="877"/>
      <c r="G196" s="653"/>
      <c r="H196" s="860"/>
      <c r="I196" s="653"/>
      <c r="J196" s="797"/>
      <c r="K196" s="653"/>
      <c r="L196" s="838"/>
      <c r="M196" s="838"/>
      <c r="N196" s="839"/>
      <c r="O196" s="653"/>
      <c r="P196" s="860"/>
      <c r="Q196" s="593"/>
      <c r="R196" s="593"/>
      <c r="S196" s="593"/>
      <c r="T196" s="861"/>
      <c r="U196" s="494"/>
      <c r="V196" s="494"/>
    </row>
    <row r="197" spans="1:22" ht="13.8" thickBot="1" x14ac:dyDescent="0.3">
      <c r="A197" s="862"/>
      <c r="B197" s="863" t="s">
        <v>463</v>
      </c>
      <c r="C197" s="864">
        <f>+C195-C184</f>
        <v>0</v>
      </c>
      <c r="D197" s="865">
        <f>+D195-D184</f>
        <v>0</v>
      </c>
      <c r="E197" s="865">
        <f>+E195-E184</f>
        <v>0</v>
      </c>
      <c r="F197" s="866">
        <f>+F195-F184</f>
        <v>0</v>
      </c>
      <c r="G197" s="865"/>
      <c r="H197" s="864">
        <f>+H195-H184</f>
        <v>3701058</v>
      </c>
      <c r="I197" s="865">
        <f>+I195-I184</f>
        <v>7672562</v>
      </c>
      <c r="J197" s="867">
        <f>+J195-J184</f>
        <v>4809254</v>
      </c>
      <c r="K197" s="868"/>
      <c r="L197" s="869">
        <f t="shared" si="127"/>
        <v>0</v>
      </c>
      <c r="M197" s="869">
        <f t="shared" si="128"/>
        <v>0</v>
      </c>
      <c r="N197" s="870">
        <f t="shared" si="129"/>
        <v>0</v>
      </c>
      <c r="O197" s="868"/>
      <c r="P197" s="864">
        <f>+P195-P184</f>
        <v>0</v>
      </c>
      <c r="Q197" s="865">
        <f>+Q195-Q184</f>
        <v>0</v>
      </c>
      <c r="R197" s="865">
        <f>+R195-R184</f>
        <v>0</v>
      </c>
      <c r="S197" s="867">
        <f>+S195-S184</f>
        <v>0</v>
      </c>
      <c r="T197" s="878">
        <f>IF(C197=0,0,S197/C197)</f>
        <v>0</v>
      </c>
      <c r="U197" s="494"/>
      <c r="V197" s="494"/>
    </row>
    <row r="198" spans="1:22" ht="13.8" thickBot="1" x14ac:dyDescent="0.3">
      <c r="A198" s="593"/>
      <c r="B198" s="593"/>
      <c r="C198" s="898"/>
      <c r="D198" s="899"/>
      <c r="E198" s="899"/>
      <c r="F198" s="900"/>
      <c r="G198" s="653"/>
      <c r="H198" s="898"/>
      <c r="I198" s="899"/>
      <c r="J198" s="901"/>
      <c r="K198" s="899"/>
      <c r="L198" s="902"/>
      <c r="M198" s="902"/>
      <c r="N198" s="903"/>
      <c r="O198" s="653"/>
      <c r="P198" s="898"/>
      <c r="Q198" s="904"/>
      <c r="R198" s="904"/>
      <c r="S198" s="904"/>
      <c r="T198" s="871"/>
      <c r="U198" s="494"/>
      <c r="V198" s="494"/>
    </row>
    <row r="199" spans="1:22" x14ac:dyDescent="0.25">
      <c r="A199" s="593"/>
      <c r="B199" s="593"/>
      <c r="C199" s="593"/>
      <c r="D199" s="653"/>
      <c r="E199" s="653"/>
      <c r="F199" s="653"/>
      <c r="G199" s="653"/>
      <c r="H199" s="593"/>
      <c r="I199" s="653"/>
      <c r="J199" s="653"/>
      <c r="K199" s="653"/>
      <c r="L199" s="838"/>
      <c r="M199" s="838"/>
      <c r="N199" s="838"/>
      <c r="O199" s="653"/>
      <c r="P199" s="593"/>
      <c r="Q199" s="593"/>
      <c r="R199" s="593"/>
      <c r="S199" s="593"/>
      <c r="T199" s="905"/>
      <c r="U199" s="494"/>
      <c r="V199" s="494"/>
    </row>
    <row r="200" spans="1:22" x14ac:dyDescent="0.25">
      <c r="A200" s="593"/>
      <c r="B200" s="593"/>
      <c r="C200" s="593"/>
      <c r="D200" s="653"/>
      <c r="E200" s="653"/>
      <c r="F200" s="653"/>
      <c r="G200" s="653"/>
      <c r="H200" s="593"/>
      <c r="I200" s="653"/>
      <c r="J200" s="653"/>
      <c r="K200" s="653"/>
      <c r="L200" s="593"/>
      <c r="M200" s="593"/>
      <c r="N200" s="593"/>
      <c r="O200" s="653"/>
      <c r="P200" s="593"/>
      <c r="Q200" s="593"/>
      <c r="R200" s="593"/>
      <c r="S200" s="593"/>
      <c r="T200" s="905"/>
      <c r="U200" s="494"/>
      <c r="V200" s="494"/>
    </row>
    <row r="201" spans="1:22" x14ac:dyDescent="0.25">
      <c r="A201" s="593"/>
      <c r="B201" s="593"/>
      <c r="C201" s="593"/>
      <c r="D201" s="653"/>
      <c r="E201" s="653"/>
      <c r="F201" s="653"/>
      <c r="G201" s="653"/>
      <c r="H201" s="593"/>
      <c r="I201" s="653"/>
      <c r="J201" s="653"/>
      <c r="K201" s="653"/>
      <c r="L201" s="593"/>
      <c r="M201" s="593"/>
      <c r="N201" s="593"/>
      <c r="O201" s="653"/>
      <c r="P201" s="593"/>
      <c r="Q201" s="593"/>
      <c r="R201" s="593"/>
      <c r="S201" s="593"/>
      <c r="T201" s="593"/>
      <c r="U201" s="494"/>
      <c r="V201" s="494"/>
    </row>
    <row r="202" spans="1:22" x14ac:dyDescent="0.25">
      <c r="A202" s="593"/>
      <c r="B202" s="593"/>
      <c r="C202" s="593"/>
      <c r="D202" s="653"/>
      <c r="E202" s="653"/>
      <c r="F202" s="653"/>
      <c r="G202" s="653"/>
      <c r="H202" s="593"/>
      <c r="I202" s="653"/>
      <c r="J202" s="653"/>
      <c r="K202" s="653"/>
      <c r="L202" s="593"/>
      <c r="M202" s="593"/>
      <c r="N202" s="593"/>
      <c r="O202" s="653"/>
      <c r="P202" s="593"/>
      <c r="Q202" s="593"/>
      <c r="R202" s="593"/>
      <c r="S202" s="593"/>
      <c r="T202" s="593"/>
      <c r="U202" s="494"/>
      <c r="V202" s="494"/>
    </row>
    <row r="203" spans="1:22" x14ac:dyDescent="0.25">
      <c r="A203" s="593"/>
      <c r="B203" s="593"/>
      <c r="C203" s="593"/>
      <c r="D203" s="653"/>
      <c r="E203" s="653"/>
      <c r="F203" s="653"/>
      <c r="G203" s="653"/>
      <c r="H203" s="593"/>
      <c r="I203" s="653"/>
      <c r="J203" s="653"/>
      <c r="K203" s="653"/>
      <c r="L203" s="593"/>
      <c r="M203" s="593"/>
      <c r="N203" s="593"/>
      <c r="O203" s="653"/>
      <c r="P203" s="593"/>
      <c r="Q203" s="593"/>
      <c r="R203" s="593"/>
      <c r="S203" s="593"/>
      <c r="T203" s="593"/>
      <c r="U203" s="494"/>
      <c r="V203" s="494"/>
    </row>
  </sheetData>
  <mergeCells count="5">
    <mergeCell ref="C7:F7"/>
    <mergeCell ref="H7:N7"/>
    <mergeCell ref="P7:T7"/>
    <mergeCell ref="H8:J8"/>
    <mergeCell ref="L8:N8"/>
  </mergeCells>
  <printOptions horizontalCentered="1"/>
  <pageMargins left="0" right="0" top="0.35433070866141736" bottom="0.35433070866141736" header="0.31496062992125984" footer="0.31496062992125984"/>
  <pageSetup paperSize="9" scale="55" fitToHeight="0" orientation="landscape" r:id="rId1"/>
  <headerFooter>
    <oddHeader xml:space="preserve">&amp;R&amp;"Arial,Félkövér dőlt"&amp;A&amp;"Arial,Normál"
&amp;"Arial,Dőlt"&amp;8&amp;F  </oddHeader>
  </headerFooter>
  <rowBreaks count="3" manualBreakCount="3">
    <brk id="64" max="16383" man="1"/>
    <brk id="118" max="16383" man="1"/>
    <brk id="1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tabSelected="1" zoomScale="85" zoomScaleNormal="85" workbookViewId="0">
      <selection activeCell="J19" sqref="J19"/>
    </sheetView>
  </sheetViews>
  <sheetFormatPr defaultRowHeight="13.2" x14ac:dyDescent="0.25"/>
  <cols>
    <col min="1" max="1" width="6.33203125" style="9" bestFit="1" customWidth="1"/>
    <col min="2" max="2" width="47.6640625" style="9" bestFit="1" customWidth="1"/>
    <col min="3" max="4" width="18.5546875" style="12" customWidth="1"/>
    <col min="5" max="6" width="18.5546875" style="9" customWidth="1"/>
    <col min="7" max="7" width="1.5546875" style="9" customWidth="1"/>
    <col min="8" max="10" width="16.33203125" style="9" customWidth="1"/>
    <col min="11" max="11" width="1.5546875" style="9" customWidth="1"/>
    <col min="12" max="12" width="14.5546875" style="9" customWidth="1"/>
    <col min="13" max="13" width="13.6640625" style="9" customWidth="1"/>
    <col min="14" max="14" width="14.6640625" style="9" customWidth="1"/>
    <col min="15" max="15" width="1.5546875" style="9" customWidth="1"/>
    <col min="16" max="19" width="18.5546875" style="9" customWidth="1"/>
    <col min="20" max="20" width="10.5546875" customWidth="1"/>
    <col min="21" max="21" width="1.5546875" style="9" customWidth="1"/>
    <col min="22" max="22" width="2.44140625" customWidth="1"/>
  </cols>
  <sheetData>
    <row r="1" spans="1:22" ht="24.6" x14ac:dyDescent="0.25">
      <c r="A1" s="1091" t="s">
        <v>509</v>
      </c>
      <c r="B1" s="1092"/>
      <c r="C1" s="1092"/>
      <c r="D1" s="1092"/>
      <c r="E1" s="1092"/>
      <c r="F1" s="1092"/>
      <c r="G1" s="493"/>
      <c r="H1" s="493"/>
      <c r="I1" s="537"/>
      <c r="J1" s="492" t="s">
        <v>483</v>
      </c>
      <c r="K1" s="693"/>
      <c r="L1" s="693"/>
      <c r="M1" s="493"/>
      <c r="N1" s="493"/>
      <c r="O1" s="493"/>
      <c r="P1" s="537"/>
      <c r="Q1" s="493"/>
      <c r="R1" s="493"/>
      <c r="S1" s="493"/>
      <c r="T1" s="494"/>
      <c r="U1" s="493"/>
      <c r="V1" s="494"/>
    </row>
    <row r="2" spans="1:22" x14ac:dyDescent="0.25">
      <c r="A2" s="573"/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4"/>
      <c r="U2" s="493"/>
      <c r="V2" s="494"/>
    </row>
    <row r="3" spans="1:22" x14ac:dyDescent="0.25">
      <c r="A3" s="573"/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4"/>
      <c r="U3" s="493"/>
      <c r="V3" s="687"/>
    </row>
    <row r="4" spans="1:22" x14ac:dyDescent="0.25">
      <c r="A4" s="573"/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4"/>
      <c r="U4" s="493"/>
      <c r="V4" s="687"/>
    </row>
    <row r="5" spans="1:22" x14ac:dyDescent="0.25">
      <c r="A5" s="573"/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  <c r="R5" s="493"/>
      <c r="S5" s="493"/>
      <c r="T5" s="494"/>
      <c r="U5" s="493"/>
      <c r="V5" s="692" t="s">
        <v>1848</v>
      </c>
    </row>
    <row r="6" spans="1:22" ht="16.350000000000001" customHeight="1" x14ac:dyDescent="0.25">
      <c r="A6" s="1108" t="s">
        <v>376</v>
      </c>
      <c r="B6" s="1109"/>
      <c r="C6" s="1109"/>
      <c r="D6" s="1109"/>
      <c r="E6" s="1109"/>
      <c r="F6" s="1109"/>
      <c r="G6" s="1109"/>
      <c r="H6" s="1109"/>
      <c r="I6" s="1109"/>
      <c r="J6" s="1109"/>
      <c r="K6" s="1109"/>
      <c r="L6" s="1109"/>
      <c r="M6" s="1109"/>
      <c r="N6" s="1110"/>
      <c r="O6" s="1110"/>
      <c r="P6" s="1110"/>
      <c r="Q6" s="1110"/>
      <c r="R6" s="1110"/>
      <c r="S6" s="1110"/>
      <c r="T6" s="1110"/>
      <c r="U6" s="1110"/>
      <c r="V6" s="1111"/>
    </row>
    <row r="7" spans="1:22" ht="16.350000000000001" customHeight="1" x14ac:dyDescent="0.25">
      <c r="A7" s="694"/>
      <c r="B7" s="695"/>
      <c r="C7" s="1102" t="s">
        <v>415</v>
      </c>
      <c r="D7" s="1103"/>
      <c r="E7" s="1103"/>
      <c r="F7" s="1104"/>
      <c r="G7" s="696"/>
      <c r="H7" s="1102" t="s">
        <v>422</v>
      </c>
      <c r="I7" s="1112"/>
      <c r="J7" s="1112"/>
      <c r="K7" s="1112"/>
      <c r="L7" s="1112"/>
      <c r="M7" s="1112"/>
      <c r="N7" s="1113"/>
      <c r="O7" s="696"/>
      <c r="P7" s="1102" t="s">
        <v>411</v>
      </c>
      <c r="Q7" s="1103"/>
      <c r="R7" s="1103"/>
      <c r="S7" s="1103"/>
      <c r="T7" s="1104"/>
      <c r="U7" s="697"/>
      <c r="V7" s="1088" t="s">
        <v>417</v>
      </c>
    </row>
    <row r="8" spans="1:22" ht="16.350000000000001" customHeight="1" x14ac:dyDescent="0.25">
      <c r="A8" s="698"/>
      <c r="B8" s="699"/>
      <c r="C8" s="60"/>
      <c r="D8" s="60"/>
      <c r="E8" s="60"/>
      <c r="F8" s="60"/>
      <c r="G8" s="60"/>
      <c r="H8" s="1105" t="s">
        <v>424</v>
      </c>
      <c r="I8" s="1106"/>
      <c r="J8" s="1107"/>
      <c r="K8" s="65"/>
      <c r="L8" s="1105" t="s">
        <v>423</v>
      </c>
      <c r="M8" s="1106"/>
      <c r="N8" s="1107"/>
      <c r="O8" s="60"/>
      <c r="P8" s="502">
        <v>1</v>
      </c>
      <c r="Q8" s="957">
        <v>1</v>
      </c>
      <c r="R8" s="957">
        <v>1</v>
      </c>
      <c r="S8" s="505"/>
      <c r="T8" s="505"/>
      <c r="U8" s="62"/>
      <c r="V8" s="1089"/>
    </row>
    <row r="9" spans="1:22" ht="51" x14ac:dyDescent="0.25">
      <c r="A9" s="66" t="s">
        <v>426</v>
      </c>
      <c r="B9" s="72" t="s">
        <v>373</v>
      </c>
      <c r="C9" s="67" t="s">
        <v>484</v>
      </c>
      <c r="D9" s="68" t="s">
        <v>485</v>
      </c>
      <c r="E9" s="68" t="s">
        <v>486</v>
      </c>
      <c r="F9" s="68" t="s">
        <v>487</v>
      </c>
      <c r="G9" s="68"/>
      <c r="H9" s="69" t="s">
        <v>488</v>
      </c>
      <c r="I9" s="69" t="s">
        <v>489</v>
      </c>
      <c r="J9" s="69" t="s">
        <v>490</v>
      </c>
      <c r="K9" s="68"/>
      <c r="L9" s="70" t="s">
        <v>491</v>
      </c>
      <c r="M9" s="70" t="s">
        <v>492</v>
      </c>
      <c r="N9" s="70" t="s">
        <v>493</v>
      </c>
      <c r="O9" s="69"/>
      <c r="P9" s="69" t="s">
        <v>494</v>
      </c>
      <c r="Q9" s="69" t="s">
        <v>495</v>
      </c>
      <c r="R9" s="69" t="s">
        <v>496</v>
      </c>
      <c r="S9" s="69" t="s">
        <v>412</v>
      </c>
      <c r="T9" s="70" t="s">
        <v>413</v>
      </c>
      <c r="U9" s="71"/>
      <c r="V9" s="1090"/>
    </row>
    <row r="10" spans="1:22" x14ac:dyDescent="0.25">
      <c r="A10" s="500" t="s">
        <v>242</v>
      </c>
      <c r="B10" s="700" t="s">
        <v>243</v>
      </c>
      <c r="C10" s="701">
        <f>+'bevételi segédtábla'!C13</f>
        <v>617137846</v>
      </c>
      <c r="D10" s="701">
        <f>+'bevételi segédtábla'!D13</f>
        <v>600347025</v>
      </c>
      <c r="E10" s="701">
        <f>+'bevételi segédtábla'!E13</f>
        <v>606967468</v>
      </c>
      <c r="F10" s="701">
        <f>+'bevételi segédtábla'!F13</f>
        <v>623149174</v>
      </c>
      <c r="G10" s="701"/>
      <c r="H10" s="701">
        <f>+'bevételi segédtábla'!H13</f>
        <v>313863193</v>
      </c>
      <c r="I10" s="701">
        <f>+'bevételi segédtábla'!I13</f>
        <v>481441129</v>
      </c>
      <c r="J10" s="701">
        <f>+'bevételi segédtábla'!J13</f>
        <v>623149174</v>
      </c>
      <c r="K10" s="701"/>
      <c r="L10" s="702">
        <f>IF(D10=0,0,H10/D10)</f>
        <v>0.52280294551305551</v>
      </c>
      <c r="M10" s="702">
        <f>IF(E10=0,0,I10/E10)</f>
        <v>0.79319099355749989</v>
      </c>
      <c r="N10" s="702">
        <f>IF(F10=0,0,J10/F10)</f>
        <v>1</v>
      </c>
      <c r="O10" s="701"/>
      <c r="P10" s="701">
        <f>+'bevételi segédtábla'!P13</f>
        <v>-16790821</v>
      </c>
      <c r="Q10" s="701">
        <f>+'bevételi segédtábla'!Q13</f>
        <v>6620443</v>
      </c>
      <c r="R10" s="701">
        <f>+'bevételi segédtábla'!R13</f>
        <v>16181706</v>
      </c>
      <c r="S10" s="701">
        <f>+'bevételi segédtábla'!S13</f>
        <v>6011328</v>
      </c>
      <c r="T10" s="703">
        <f>IF(C10=0,0,+S10/C10)</f>
        <v>9.7406568710096571E-3</v>
      </c>
      <c r="U10" s="701"/>
      <c r="V10" s="704">
        <f>+S10-F10+C10</f>
        <v>0</v>
      </c>
    </row>
    <row r="11" spans="1:22" x14ac:dyDescent="0.25">
      <c r="A11" s="500" t="s">
        <v>263</v>
      </c>
      <c r="B11" s="700" t="s">
        <v>264</v>
      </c>
      <c r="C11" s="701">
        <f>+'bevételi segédtábla'!C14</f>
        <v>262000000</v>
      </c>
      <c r="D11" s="701">
        <f>+'bevételi segédtábla'!D14</f>
        <v>265315728</v>
      </c>
      <c r="E11" s="701">
        <f>+'bevételi segédtábla'!E14</f>
        <v>265315728</v>
      </c>
      <c r="F11" s="701">
        <f>+'bevételi segédtábla'!F14</f>
        <v>220578157</v>
      </c>
      <c r="G11" s="701"/>
      <c r="H11" s="701">
        <f>+'bevételi segédtábla'!H14</f>
        <v>215315728</v>
      </c>
      <c r="I11" s="701">
        <f>+'bevételi segédtábla'!I14</f>
        <v>218778157</v>
      </c>
      <c r="J11" s="701">
        <f>+'bevételi segédtábla'!J14</f>
        <v>220578157</v>
      </c>
      <c r="K11" s="701"/>
      <c r="L11" s="702">
        <f t="shared" ref="L11:L19" si="0">IF(D11=0,0,H11/D11)</f>
        <v>0.81154528464290665</v>
      </c>
      <c r="M11" s="702">
        <f t="shared" ref="M11:M19" si="1">IF(E11=0,0,I11/E11)</f>
        <v>0.82459550607568954</v>
      </c>
      <c r="N11" s="702">
        <f t="shared" ref="N11:N19" si="2">IF(F11=0,0,J11/F11)</f>
        <v>1</v>
      </c>
      <c r="O11" s="701"/>
      <c r="P11" s="701">
        <f>+'bevételi segédtábla'!P14</f>
        <v>3315728</v>
      </c>
      <c r="Q11" s="701">
        <f>+'bevételi segédtábla'!Q14</f>
        <v>0</v>
      </c>
      <c r="R11" s="701">
        <f>+'bevételi segédtábla'!R14</f>
        <v>-44737571</v>
      </c>
      <c r="S11" s="701">
        <f>+'bevételi segédtábla'!S14</f>
        <v>-41421843</v>
      </c>
      <c r="T11" s="703">
        <f t="shared" ref="T11:T19" si="3">IF(C11=0,0,+S11/C11)</f>
        <v>-0.15809863740458016</v>
      </c>
      <c r="U11" s="701"/>
      <c r="V11" s="704">
        <f t="shared" ref="V11:V19" si="4">+S11-F11+C11</f>
        <v>0</v>
      </c>
    </row>
    <row r="12" spans="1:22" x14ac:dyDescent="0.25">
      <c r="A12" s="500" t="s">
        <v>271</v>
      </c>
      <c r="B12" s="700" t="s">
        <v>272</v>
      </c>
      <c r="C12" s="701">
        <f>+'bevételi segédtábla'!C15</f>
        <v>205000000</v>
      </c>
      <c r="D12" s="701">
        <f>+'bevételi segédtábla'!D15</f>
        <v>206000000</v>
      </c>
      <c r="E12" s="701">
        <f>+'bevételi segédtábla'!E15</f>
        <v>206000000</v>
      </c>
      <c r="F12" s="701">
        <f>+'bevételi segédtábla'!F15</f>
        <v>259000000</v>
      </c>
      <c r="G12" s="701"/>
      <c r="H12" s="701">
        <f>+'bevételi segédtábla'!H15</f>
        <v>125571595</v>
      </c>
      <c r="I12" s="701">
        <f>+'bevételi segédtábla'!I15</f>
        <v>198060016</v>
      </c>
      <c r="J12" s="701">
        <f>+'bevételi segédtábla'!J15</f>
        <v>245141050</v>
      </c>
      <c r="K12" s="701"/>
      <c r="L12" s="702">
        <f t="shared" si="0"/>
        <v>0.60957084951456308</v>
      </c>
      <c r="M12" s="702">
        <f t="shared" si="1"/>
        <v>0.96145638834951452</v>
      </c>
      <c r="N12" s="702">
        <f t="shared" si="2"/>
        <v>0.94649054054054049</v>
      </c>
      <c r="O12" s="701"/>
      <c r="P12" s="701">
        <f>+'bevételi segédtábla'!P15</f>
        <v>1000000</v>
      </c>
      <c r="Q12" s="701">
        <f>+'bevételi segédtábla'!Q15</f>
        <v>0</v>
      </c>
      <c r="R12" s="701">
        <f>+'bevételi segédtábla'!R15</f>
        <v>53000000</v>
      </c>
      <c r="S12" s="701">
        <f>+'bevételi segédtábla'!S15</f>
        <v>54000000</v>
      </c>
      <c r="T12" s="703">
        <f t="shared" si="3"/>
        <v>0.26341463414634148</v>
      </c>
      <c r="U12" s="701"/>
      <c r="V12" s="704">
        <f t="shared" si="4"/>
        <v>0</v>
      </c>
    </row>
    <row r="13" spans="1:22" x14ac:dyDescent="0.25">
      <c r="A13" s="500" t="s">
        <v>285</v>
      </c>
      <c r="B13" s="700" t="s">
        <v>286</v>
      </c>
      <c r="C13" s="701">
        <f>+'bevételi segédtábla'!C16</f>
        <v>95594000</v>
      </c>
      <c r="D13" s="701">
        <f>+'bevételi segédtábla'!D16</f>
        <v>111844030</v>
      </c>
      <c r="E13" s="701">
        <f>+'bevételi segédtábla'!E16</f>
        <v>161844030</v>
      </c>
      <c r="F13" s="701">
        <f>+'bevételi segédtábla'!F16</f>
        <v>190074642</v>
      </c>
      <c r="G13" s="701"/>
      <c r="H13" s="701">
        <f>+'bevételi segédtábla'!H16</f>
        <v>62362913</v>
      </c>
      <c r="I13" s="701">
        <f>+'bevételi segédtábla'!I16</f>
        <v>84417175</v>
      </c>
      <c r="J13" s="701">
        <f>+'bevételi segédtábla'!J16</f>
        <v>110159559</v>
      </c>
      <c r="K13" s="701"/>
      <c r="L13" s="702">
        <f t="shared" si="0"/>
        <v>0.5575882145877612</v>
      </c>
      <c r="M13" s="702">
        <f t="shared" si="1"/>
        <v>0.52159585373646467</v>
      </c>
      <c r="N13" s="702">
        <f t="shared" si="2"/>
        <v>0.57955947116817408</v>
      </c>
      <c r="O13" s="701"/>
      <c r="P13" s="701">
        <f>+'bevételi segédtábla'!P16</f>
        <v>16250030</v>
      </c>
      <c r="Q13" s="701">
        <f>+'bevételi segédtábla'!Q16</f>
        <v>50000000</v>
      </c>
      <c r="R13" s="701">
        <f>+'bevételi segédtábla'!R16</f>
        <v>28230612</v>
      </c>
      <c r="S13" s="701">
        <f>+'bevételi segédtábla'!S16</f>
        <v>94480642</v>
      </c>
      <c r="T13" s="703">
        <f t="shared" si="3"/>
        <v>0.98835326484925834</v>
      </c>
      <c r="U13" s="701"/>
      <c r="V13" s="704">
        <f t="shared" si="4"/>
        <v>0</v>
      </c>
    </row>
    <row r="14" spans="1:22" x14ac:dyDescent="0.25">
      <c r="A14" s="500" t="s">
        <v>311</v>
      </c>
      <c r="B14" s="700" t="s">
        <v>312</v>
      </c>
      <c r="C14" s="701">
        <f>+'bevételi segédtábla'!C17</f>
        <v>100700000</v>
      </c>
      <c r="D14" s="701">
        <f>+'bevételi segédtábla'!D17</f>
        <v>97252913</v>
      </c>
      <c r="E14" s="701">
        <f>+'bevételi segédtábla'!E17</f>
        <v>90632470</v>
      </c>
      <c r="F14" s="701">
        <f>+'bevételi segédtábla'!F17</f>
        <v>34411075</v>
      </c>
      <c r="G14" s="701"/>
      <c r="H14" s="701">
        <f>+'bevételi segédtábla'!H17</f>
        <v>11629471</v>
      </c>
      <c r="I14" s="701">
        <f>+'bevételi segédtábla'!I17</f>
        <v>15967376</v>
      </c>
      <c r="J14" s="701">
        <f>+'bevételi segédtábla'!J17</f>
        <v>21217407</v>
      </c>
      <c r="K14" s="701"/>
      <c r="L14" s="702">
        <f t="shared" si="0"/>
        <v>0.11957966750055085</v>
      </c>
      <c r="M14" s="702">
        <f t="shared" si="1"/>
        <v>0.17617721330997599</v>
      </c>
      <c r="N14" s="702">
        <f t="shared" si="2"/>
        <v>0.61658657859424615</v>
      </c>
      <c r="O14" s="701"/>
      <c r="P14" s="701">
        <f>+'bevételi segédtábla'!P17</f>
        <v>-3447087</v>
      </c>
      <c r="Q14" s="701">
        <f>+'bevételi segédtábla'!Q17</f>
        <v>-6620443</v>
      </c>
      <c r="R14" s="701">
        <f>+'bevételi segédtábla'!R17</f>
        <v>-56221395</v>
      </c>
      <c r="S14" s="701">
        <f>+'bevételi segédtábla'!S17</f>
        <v>-66288925</v>
      </c>
      <c r="T14" s="703">
        <f t="shared" si="3"/>
        <v>-0.65828128103277062</v>
      </c>
      <c r="U14" s="701"/>
      <c r="V14" s="704">
        <f t="shared" si="4"/>
        <v>0</v>
      </c>
    </row>
    <row r="15" spans="1:22" x14ac:dyDescent="0.25">
      <c r="A15" s="500" t="s">
        <v>321</v>
      </c>
      <c r="B15" s="700" t="s">
        <v>322</v>
      </c>
      <c r="C15" s="701">
        <f>+'bevételi segédtábla'!C18</f>
        <v>0</v>
      </c>
      <c r="D15" s="701">
        <f>+'bevételi segédtábla'!D18</f>
        <v>240000</v>
      </c>
      <c r="E15" s="701">
        <f>+'bevételi segédtábla'!E18</f>
        <v>240000</v>
      </c>
      <c r="F15" s="701">
        <f>+'bevételi segédtábla'!F18</f>
        <v>240000</v>
      </c>
      <c r="G15" s="701"/>
      <c r="H15" s="701">
        <f>+'bevételi segédtábla'!H18</f>
        <v>40000</v>
      </c>
      <c r="I15" s="701">
        <f>+'bevételi segédtábla'!I18</f>
        <v>60000</v>
      </c>
      <c r="J15" s="701">
        <f>+'bevételi segédtábla'!J18</f>
        <v>60000</v>
      </c>
      <c r="K15" s="701"/>
      <c r="L15" s="702">
        <f t="shared" si="0"/>
        <v>0.16666666666666666</v>
      </c>
      <c r="M15" s="702">
        <f t="shared" si="1"/>
        <v>0.25</v>
      </c>
      <c r="N15" s="702">
        <f t="shared" si="2"/>
        <v>0.25</v>
      </c>
      <c r="O15" s="701"/>
      <c r="P15" s="701">
        <f>+'bevételi segédtábla'!P18</f>
        <v>240000</v>
      </c>
      <c r="Q15" s="701">
        <f>+'bevételi segédtábla'!Q18</f>
        <v>0</v>
      </c>
      <c r="R15" s="701">
        <f>+'bevételi segédtábla'!R18</f>
        <v>0</v>
      </c>
      <c r="S15" s="701">
        <f>+'bevételi segédtábla'!S18</f>
        <v>240000</v>
      </c>
      <c r="T15" s="703">
        <f t="shared" si="3"/>
        <v>0</v>
      </c>
      <c r="U15" s="701"/>
      <c r="V15" s="704">
        <f t="shared" si="4"/>
        <v>0</v>
      </c>
    </row>
    <row r="16" spans="1:22" x14ac:dyDescent="0.25">
      <c r="A16" s="500" t="s">
        <v>328</v>
      </c>
      <c r="B16" s="700" t="s">
        <v>329</v>
      </c>
      <c r="C16" s="701">
        <f>+'bevételi segédtábla'!C19</f>
        <v>0</v>
      </c>
      <c r="D16" s="701">
        <f>+'bevételi segédtábla'!D19</f>
        <v>373750</v>
      </c>
      <c r="E16" s="701">
        <f>+'bevételi segédtábla'!E19</f>
        <v>373750</v>
      </c>
      <c r="F16" s="701">
        <f>+'bevételi segédtábla'!F19</f>
        <v>623750</v>
      </c>
      <c r="G16" s="701"/>
      <c r="H16" s="701">
        <f>+'bevételi segédtábla'!H19</f>
        <v>373750</v>
      </c>
      <c r="I16" s="701">
        <f>+'bevételi segédtábla'!I19</f>
        <v>593750</v>
      </c>
      <c r="J16" s="701">
        <f>+'bevételi segédtábla'!J19</f>
        <v>643750</v>
      </c>
      <c r="K16" s="701"/>
      <c r="L16" s="702">
        <f t="shared" si="0"/>
        <v>1</v>
      </c>
      <c r="M16" s="702">
        <f t="shared" si="1"/>
        <v>1.5886287625418061</v>
      </c>
      <c r="N16" s="702">
        <f t="shared" si="2"/>
        <v>1.0320641282565131</v>
      </c>
      <c r="O16" s="701"/>
      <c r="P16" s="701">
        <f>+'bevételi segédtábla'!P19</f>
        <v>373750</v>
      </c>
      <c r="Q16" s="701">
        <f>+'bevételi segédtábla'!Q19</f>
        <v>0</v>
      </c>
      <c r="R16" s="701">
        <f>+'bevételi segédtábla'!R19</f>
        <v>250000</v>
      </c>
      <c r="S16" s="701">
        <f>+'bevételi segédtábla'!S19</f>
        <v>623750</v>
      </c>
      <c r="T16" s="703">
        <f t="shared" si="3"/>
        <v>0</v>
      </c>
      <c r="U16" s="701"/>
      <c r="V16" s="704">
        <f t="shared" si="4"/>
        <v>0</v>
      </c>
    </row>
    <row r="17" spans="1:22" x14ac:dyDescent="0.25">
      <c r="A17" s="500" t="s">
        <v>335</v>
      </c>
      <c r="B17" s="700" t="s">
        <v>336</v>
      </c>
      <c r="C17" s="701">
        <f>+'bevételi segédtábla'!C20</f>
        <v>973831897.25</v>
      </c>
      <c r="D17" s="701">
        <f>+'bevételi segédtábla'!D20</f>
        <v>979535997</v>
      </c>
      <c r="E17" s="701">
        <f>+'bevételi segédtábla'!E20</f>
        <v>979535997</v>
      </c>
      <c r="F17" s="701">
        <f>+'bevételi segédtábla'!F20</f>
        <v>972297168</v>
      </c>
      <c r="G17" s="701"/>
      <c r="H17" s="701">
        <f>+'bevételi segédtábla'!H20</f>
        <v>709911777</v>
      </c>
      <c r="I17" s="701">
        <f>+'bevételi segédtábla'!I20</f>
        <v>830472911</v>
      </c>
      <c r="J17" s="701">
        <f>+'bevételi segédtábla'!J20</f>
        <v>972215916</v>
      </c>
      <c r="K17" s="701"/>
      <c r="L17" s="702">
        <f t="shared" si="0"/>
        <v>0.72474291825336568</v>
      </c>
      <c r="M17" s="702">
        <f t="shared" si="1"/>
        <v>0.84782275847285682</v>
      </c>
      <c r="N17" s="702">
        <f t="shared" si="2"/>
        <v>0.99991643295622556</v>
      </c>
      <c r="O17" s="701"/>
      <c r="P17" s="701">
        <f>+'bevételi segédtábla'!P20</f>
        <v>5704099.75</v>
      </c>
      <c r="Q17" s="701">
        <f>+'bevételi segédtábla'!Q20</f>
        <v>0</v>
      </c>
      <c r="R17" s="701">
        <f>+'bevételi segédtábla'!R20</f>
        <v>-7238829</v>
      </c>
      <c r="S17" s="701">
        <f>+'bevételi segédtábla'!S20</f>
        <v>-1534729.25</v>
      </c>
      <c r="T17" s="703">
        <f t="shared" si="3"/>
        <v>-1.5759693786308662E-3</v>
      </c>
      <c r="U17" s="701"/>
      <c r="V17" s="704">
        <f t="shared" si="4"/>
        <v>0</v>
      </c>
    </row>
    <row r="18" spans="1:22" x14ac:dyDescent="0.25">
      <c r="A18" s="500"/>
      <c r="B18" s="705" t="s">
        <v>448</v>
      </c>
      <c r="C18" s="701">
        <f>+'bevételi segédtábla'!C21</f>
        <v>-499153498.25</v>
      </c>
      <c r="D18" s="701">
        <f>+'bevételi segédtábla'!D21</f>
        <v>-504857598</v>
      </c>
      <c r="E18" s="701">
        <f>+'bevételi segédtábla'!E21</f>
        <v>-504857598</v>
      </c>
      <c r="F18" s="701">
        <f>+'bevételi segédtábla'!F21</f>
        <v>-497618769</v>
      </c>
      <c r="G18" s="701"/>
      <c r="H18" s="701">
        <f>+'bevételi segédtábla'!H21</f>
        <v>-253233378</v>
      </c>
      <c r="I18" s="701">
        <f>+'bevételi segédtábla'!I21</f>
        <v>-373794512</v>
      </c>
      <c r="J18" s="701">
        <f>+'bevételi segédtábla'!J21</f>
        <v>-497618769</v>
      </c>
      <c r="K18" s="701"/>
      <c r="L18" s="702">
        <f t="shared" si="0"/>
        <v>0.50159367513371567</v>
      </c>
      <c r="M18" s="702">
        <f t="shared" si="1"/>
        <v>0.74039593239913959</v>
      </c>
      <c r="N18" s="702">
        <f t="shared" si="2"/>
        <v>1</v>
      </c>
      <c r="O18" s="701"/>
      <c r="P18" s="701">
        <f>+'bevételi segédtábla'!P21</f>
        <v>-5704099.75</v>
      </c>
      <c r="Q18" s="701">
        <f>+'bevételi segédtábla'!Q21</f>
        <v>0</v>
      </c>
      <c r="R18" s="701">
        <f>+'bevételi segédtábla'!R21</f>
        <v>7238829</v>
      </c>
      <c r="S18" s="701">
        <f>+'bevételi segédtábla'!S21</f>
        <v>1534729.25</v>
      </c>
      <c r="T18" s="703">
        <f t="shared" si="3"/>
        <v>-3.0746639167724193E-3</v>
      </c>
      <c r="U18" s="701"/>
      <c r="V18" s="704">
        <f t="shared" si="4"/>
        <v>0</v>
      </c>
    </row>
    <row r="19" spans="1:22" x14ac:dyDescent="0.25">
      <c r="A19" s="626"/>
      <c r="B19" s="501" t="s">
        <v>379</v>
      </c>
      <c r="C19" s="706">
        <f>SUM(C10:C18)</f>
        <v>1755110245</v>
      </c>
      <c r="D19" s="706">
        <f t="shared" ref="D19:E19" si="5">SUM(D10:D18)</f>
        <v>1756051845</v>
      </c>
      <c r="E19" s="706">
        <f t="shared" si="5"/>
        <v>1806051845</v>
      </c>
      <c r="F19" s="706">
        <f>SUM(F10:F18)</f>
        <v>1802755197</v>
      </c>
      <c r="G19" s="706"/>
      <c r="H19" s="706">
        <f>SUM(H10:H18)</f>
        <v>1185835049</v>
      </c>
      <c r="I19" s="706">
        <f t="shared" ref="I19:J19" si="6">SUM(I10:I18)</f>
        <v>1455996002</v>
      </c>
      <c r="J19" s="706">
        <f t="shared" si="6"/>
        <v>1695546244</v>
      </c>
      <c r="K19" s="706"/>
      <c r="L19" s="707">
        <f t="shared" si="0"/>
        <v>0.67528476017175909</v>
      </c>
      <c r="M19" s="707">
        <f t="shared" si="1"/>
        <v>0.8061761936850711</v>
      </c>
      <c r="N19" s="707">
        <f t="shared" si="2"/>
        <v>0.94053049844016068</v>
      </c>
      <c r="O19" s="706"/>
      <c r="P19" s="706">
        <f>SUM(P10:P18)</f>
        <v>941600</v>
      </c>
      <c r="Q19" s="706">
        <f t="shared" ref="Q19:S19" si="7">SUM(Q10:Q18)</f>
        <v>50000000</v>
      </c>
      <c r="R19" s="706">
        <f t="shared" si="7"/>
        <v>-3296648</v>
      </c>
      <c r="S19" s="706">
        <f t="shared" si="7"/>
        <v>47644952</v>
      </c>
      <c r="T19" s="703">
        <f t="shared" si="3"/>
        <v>2.7146415523316599E-2</v>
      </c>
      <c r="U19" s="706"/>
      <c r="V19" s="704">
        <f t="shared" si="4"/>
        <v>0</v>
      </c>
    </row>
    <row r="20" spans="1:22" x14ac:dyDescent="0.25">
      <c r="A20" s="1069">
        <v>0</v>
      </c>
      <c r="B20" s="1069" t="s">
        <v>1849</v>
      </c>
      <c r="C20" s="708"/>
      <c r="D20" s="708"/>
      <c r="E20" s="708"/>
      <c r="F20" s="708"/>
      <c r="G20" s="708"/>
      <c r="H20" s="709"/>
      <c r="I20" s="709"/>
      <c r="J20" s="710"/>
      <c r="K20" s="708"/>
      <c r="L20" s="711"/>
      <c r="M20" s="711"/>
      <c r="N20" s="711"/>
      <c r="O20" s="708"/>
      <c r="P20" s="708"/>
      <c r="Q20" s="708"/>
      <c r="R20" s="708"/>
      <c r="S20" s="708"/>
      <c r="T20" s="711"/>
      <c r="U20" s="708"/>
      <c r="V20" s="708"/>
    </row>
    <row r="21" spans="1:22" x14ac:dyDescent="0.25">
      <c r="A21" s="494"/>
      <c r="B21" s="494"/>
      <c r="C21" s="494"/>
      <c r="D21" s="494"/>
      <c r="E21" s="712"/>
      <c r="F21" s="712"/>
      <c r="G21" s="494"/>
      <c r="H21" s="494"/>
      <c r="I21" s="494"/>
      <c r="J21" s="494"/>
      <c r="K21" s="494"/>
      <c r="L21" s="543"/>
      <c r="M21" s="543"/>
      <c r="N21" s="543"/>
      <c r="O21" s="494"/>
      <c r="P21" s="494"/>
      <c r="Q21" s="494"/>
      <c r="R21" s="494"/>
      <c r="S21" s="494"/>
      <c r="T21" s="543"/>
      <c r="U21" s="494"/>
      <c r="V21" s="494"/>
    </row>
    <row r="22" spans="1:22" x14ac:dyDescent="0.25">
      <c r="A22" s="494"/>
      <c r="B22" s="494"/>
      <c r="C22" s="494"/>
      <c r="D22" s="494"/>
      <c r="E22" s="494"/>
      <c r="F22" s="494"/>
      <c r="G22" s="494"/>
      <c r="H22" s="494"/>
      <c r="I22" s="494"/>
      <c r="J22" s="494"/>
      <c r="K22" s="494"/>
      <c r="L22" s="543"/>
      <c r="M22" s="543"/>
      <c r="N22" s="543"/>
      <c r="O22" s="494"/>
      <c r="P22" s="494"/>
      <c r="Q22" s="494"/>
      <c r="R22" s="494"/>
      <c r="S22" s="494"/>
      <c r="T22" s="543"/>
      <c r="U22" s="494"/>
      <c r="V22" s="494"/>
    </row>
    <row r="23" spans="1:22" ht="16.350000000000001" customHeight="1" x14ac:dyDescent="0.25">
      <c r="A23" s="1108" t="s">
        <v>377</v>
      </c>
      <c r="B23" s="1109"/>
      <c r="C23" s="1109"/>
      <c r="D23" s="1109"/>
      <c r="E23" s="1109"/>
      <c r="F23" s="1109"/>
      <c r="G23" s="1109"/>
      <c r="H23" s="1109"/>
      <c r="I23" s="1109"/>
      <c r="J23" s="1109"/>
      <c r="K23" s="1109"/>
      <c r="L23" s="1109"/>
      <c r="M23" s="1109"/>
      <c r="N23" s="1110"/>
      <c r="O23" s="1110"/>
      <c r="P23" s="1110"/>
      <c r="Q23" s="1110"/>
      <c r="R23" s="1110"/>
      <c r="S23" s="1110"/>
      <c r="T23" s="1110"/>
      <c r="U23" s="1110"/>
      <c r="V23" s="1111"/>
    </row>
    <row r="24" spans="1:22" ht="16.350000000000001" customHeight="1" x14ac:dyDescent="0.25">
      <c r="A24" s="713"/>
      <c r="B24" s="714"/>
      <c r="C24" s="1070" t="s">
        <v>415</v>
      </c>
      <c r="D24" s="1071"/>
      <c r="E24" s="1071"/>
      <c r="F24" s="1072"/>
      <c r="G24" s="64"/>
      <c r="H24" s="1093" t="s">
        <v>414</v>
      </c>
      <c r="I24" s="1094"/>
      <c r="J24" s="1094"/>
      <c r="K24" s="1094"/>
      <c r="L24" s="1094"/>
      <c r="M24" s="1094"/>
      <c r="N24" s="1095"/>
      <c r="O24" s="64"/>
      <c r="P24" s="1070" t="s">
        <v>411</v>
      </c>
      <c r="Q24" s="1071"/>
      <c r="R24" s="1071"/>
      <c r="S24" s="1071"/>
      <c r="T24" s="1072"/>
      <c r="U24" s="63"/>
      <c r="V24" s="1088" t="s">
        <v>417</v>
      </c>
    </row>
    <row r="25" spans="1:22" ht="13.35" customHeight="1" x14ac:dyDescent="0.25">
      <c r="A25" s="559"/>
      <c r="B25" s="496"/>
      <c r="C25" s="1099"/>
      <c r="D25" s="1100"/>
      <c r="E25" s="1100"/>
      <c r="F25" s="1101"/>
      <c r="G25" s="60"/>
      <c r="H25" s="1096" t="s">
        <v>424</v>
      </c>
      <c r="I25" s="1097"/>
      <c r="J25" s="1098"/>
      <c r="K25" s="61"/>
      <c r="L25" s="1096" t="s">
        <v>423</v>
      </c>
      <c r="M25" s="1097"/>
      <c r="N25" s="1098"/>
      <c r="O25" s="60"/>
      <c r="P25" s="1099"/>
      <c r="Q25" s="1100"/>
      <c r="R25" s="1100"/>
      <c r="S25" s="1100"/>
      <c r="T25" s="1101"/>
      <c r="U25" s="62"/>
      <c r="V25" s="1089"/>
    </row>
    <row r="26" spans="1:22" ht="51" x14ac:dyDescent="0.25">
      <c r="A26" s="66" t="s">
        <v>426</v>
      </c>
      <c r="B26" s="72" t="s">
        <v>373</v>
      </c>
      <c r="C26" s="67" t="s">
        <v>484</v>
      </c>
      <c r="D26" s="68" t="s">
        <v>485</v>
      </c>
      <c r="E26" s="68" t="s">
        <v>486</v>
      </c>
      <c r="F26" s="68" t="s">
        <v>487</v>
      </c>
      <c r="G26" s="68"/>
      <c r="H26" s="69" t="s">
        <v>488</v>
      </c>
      <c r="I26" s="69" t="s">
        <v>489</v>
      </c>
      <c r="J26" s="69" t="s">
        <v>490</v>
      </c>
      <c r="K26" s="73"/>
      <c r="L26" s="70" t="s">
        <v>500</v>
      </c>
      <c r="M26" s="70" t="s">
        <v>502</v>
      </c>
      <c r="N26" s="70" t="s">
        <v>501</v>
      </c>
      <c r="O26" s="73"/>
      <c r="P26" s="69" t="s">
        <v>494</v>
      </c>
      <c r="Q26" s="69" t="s">
        <v>495</v>
      </c>
      <c r="R26" s="69" t="s">
        <v>496</v>
      </c>
      <c r="S26" s="69" t="s">
        <v>412</v>
      </c>
      <c r="T26" s="70" t="s">
        <v>425</v>
      </c>
      <c r="U26" s="73"/>
      <c r="V26" s="1090"/>
    </row>
    <row r="27" spans="1:22" x14ac:dyDescent="0.25">
      <c r="A27" s="527" t="s">
        <v>0</v>
      </c>
      <c r="B27" s="700" t="s">
        <v>3</v>
      </c>
      <c r="C27" s="715">
        <f>+'kiadási segédtábla'!C13</f>
        <v>430813412</v>
      </c>
      <c r="D27" s="715">
        <f>+'kiadási segédtábla'!D13</f>
        <v>431755012</v>
      </c>
      <c r="E27" s="701">
        <f>+'kiadási segédtábla'!E13</f>
        <v>432441212</v>
      </c>
      <c r="F27" s="715">
        <f>+'kiadási segédtábla'!F13</f>
        <v>428361201</v>
      </c>
      <c r="G27" s="715"/>
      <c r="H27" s="715">
        <f>+'kiadási segédtábla'!H13</f>
        <v>206850184</v>
      </c>
      <c r="I27" s="715">
        <f>+'kiadási segédtábla'!I13</f>
        <v>314393136</v>
      </c>
      <c r="J27" s="715">
        <f>+'kiadási segédtábla'!J13</f>
        <v>424066140</v>
      </c>
      <c r="K27" s="716"/>
      <c r="L27" s="551">
        <f t="shared" ref="L27:L37" si="8">IF(D27=0,0,H27/D27)</f>
        <v>0.47909156408356879</v>
      </c>
      <c r="M27" s="551">
        <f t="shared" ref="M27:M37" si="9">IF(E27=0,0,I27/E27)</f>
        <v>0.72701936650755661</v>
      </c>
      <c r="N27" s="551">
        <f t="shared" ref="N27:N37" si="10">IF(F27=0,0,J27/F27)</f>
        <v>0.98997327257937162</v>
      </c>
      <c r="O27" s="716"/>
      <c r="P27" s="166">
        <f t="shared" ref="P27:P35" si="11">+(D27-C27)*P$8</f>
        <v>941600</v>
      </c>
      <c r="Q27" s="166">
        <f t="shared" ref="Q27:Q35" si="12">+(E27-D27)*Q$8</f>
        <v>686200</v>
      </c>
      <c r="R27" s="166">
        <f t="shared" ref="R27:R35" si="13">+(F27-E27)*R$8</f>
        <v>-4080011</v>
      </c>
      <c r="S27" s="166">
        <f t="shared" ref="S27:S35" si="14">SUM(P27:R27)</f>
        <v>-2452211</v>
      </c>
      <c r="T27" s="717">
        <f t="shared" ref="T27:T41" si="15">IF(C27=0,0,+S27/C27)</f>
        <v>-5.6920488817093747E-3</v>
      </c>
      <c r="U27" s="701"/>
      <c r="V27" s="704">
        <f>+S27-F27+C27</f>
        <v>0</v>
      </c>
    </row>
    <row r="28" spans="1:22" ht="15" customHeight="1" x14ac:dyDescent="0.25">
      <c r="A28" s="527" t="s">
        <v>27</v>
      </c>
      <c r="B28" s="700" t="s">
        <v>28</v>
      </c>
      <c r="C28" s="715">
        <f>+'kiadási segédtábla'!C14</f>
        <v>81571891.25</v>
      </c>
      <c r="D28" s="715">
        <f>+'kiadási segédtábla'!D14</f>
        <v>81571891</v>
      </c>
      <c r="E28" s="701">
        <f>+'kiadási segédtábla'!E14</f>
        <v>81571891</v>
      </c>
      <c r="F28" s="715">
        <f>+'kiadási segédtábla'!F14</f>
        <v>83609815</v>
      </c>
      <c r="G28" s="715"/>
      <c r="H28" s="715">
        <f>+'kiadási segédtábla'!H14</f>
        <v>43217131</v>
      </c>
      <c r="I28" s="715">
        <f>+'kiadási segédtábla'!I14</f>
        <v>64322116</v>
      </c>
      <c r="J28" s="715">
        <f>+'kiadási segédtábla'!J14</f>
        <v>83597204</v>
      </c>
      <c r="K28" s="716"/>
      <c r="L28" s="551">
        <f t="shared" si="8"/>
        <v>0.52980420669664263</v>
      </c>
      <c r="M28" s="551">
        <f t="shared" si="9"/>
        <v>0.78853285379886562</v>
      </c>
      <c r="N28" s="551">
        <f t="shared" si="10"/>
        <v>0.99984916842597971</v>
      </c>
      <c r="O28" s="716"/>
      <c r="P28" s="166">
        <f t="shared" si="11"/>
        <v>-0.25</v>
      </c>
      <c r="Q28" s="166">
        <f t="shared" si="12"/>
        <v>0</v>
      </c>
      <c r="R28" s="166">
        <f t="shared" si="13"/>
        <v>2037924</v>
      </c>
      <c r="S28" s="166">
        <f t="shared" si="14"/>
        <v>2037923.75</v>
      </c>
      <c r="T28" s="717">
        <f t="shared" si="15"/>
        <v>2.4983161708905455E-2</v>
      </c>
      <c r="U28" s="701"/>
      <c r="V28" s="704">
        <f t="shared" ref="V28:V36" si="16">+S28-F28+C28</f>
        <v>0</v>
      </c>
    </row>
    <row r="29" spans="1:22" x14ac:dyDescent="0.25">
      <c r="A29" s="527" t="s">
        <v>30</v>
      </c>
      <c r="B29" s="700" t="s">
        <v>31</v>
      </c>
      <c r="C29" s="715">
        <f>+'kiadási segédtábla'!C15</f>
        <v>303538000</v>
      </c>
      <c r="D29" s="718">
        <f>+'kiadási segédtábla'!D15</f>
        <v>365429951</v>
      </c>
      <c r="E29" s="718">
        <f>+'kiadási segédtábla'!E15</f>
        <v>414910949</v>
      </c>
      <c r="F29" s="718">
        <f>+'kiadási segédtábla'!F15</f>
        <v>358446305</v>
      </c>
      <c r="G29" s="715"/>
      <c r="H29" s="715">
        <f>+'kiadási segédtábla'!H15</f>
        <v>173860597</v>
      </c>
      <c r="I29" s="715">
        <f>+'kiadási segédtábla'!I15</f>
        <v>270398198</v>
      </c>
      <c r="J29" s="715">
        <f>+'kiadási segédtábla'!J15</f>
        <v>346064115</v>
      </c>
      <c r="K29" s="716"/>
      <c r="L29" s="719">
        <f t="shared" si="8"/>
        <v>0.47576997048060793</v>
      </c>
      <c r="M29" s="719">
        <f t="shared" si="9"/>
        <v>0.6517017655275229</v>
      </c>
      <c r="N29" s="719">
        <f t="shared" si="10"/>
        <v>0.96545594185996697</v>
      </c>
      <c r="O29" s="716"/>
      <c r="P29" s="166">
        <f t="shared" si="11"/>
        <v>61891951</v>
      </c>
      <c r="Q29" s="166">
        <f t="shared" si="12"/>
        <v>49480998</v>
      </c>
      <c r="R29" s="166">
        <f t="shared" si="13"/>
        <v>-56464644</v>
      </c>
      <c r="S29" s="166">
        <f t="shared" si="14"/>
        <v>54908305</v>
      </c>
      <c r="T29" s="717">
        <f t="shared" si="15"/>
        <v>0.18089433612924904</v>
      </c>
      <c r="U29" s="701"/>
      <c r="V29" s="704">
        <f t="shared" si="16"/>
        <v>0</v>
      </c>
    </row>
    <row r="30" spans="1:22" x14ac:dyDescent="0.25">
      <c r="A30" s="527" t="s">
        <v>112</v>
      </c>
      <c r="B30" s="700" t="s">
        <v>508</v>
      </c>
      <c r="C30" s="715">
        <f>+'kiadási segédtábla'!C16</f>
        <v>22100000</v>
      </c>
      <c r="D30" s="715">
        <f>+'kiadási segédtábla'!D16</f>
        <v>23100000</v>
      </c>
      <c r="E30" s="701">
        <f>+'kiadási segédtábla'!E16</f>
        <v>24100000</v>
      </c>
      <c r="F30" s="715">
        <f>+'kiadási segédtábla'!F16</f>
        <v>23324501</v>
      </c>
      <c r="G30" s="715"/>
      <c r="H30" s="715">
        <f>+'kiadási segédtábla'!H16</f>
        <v>12463530</v>
      </c>
      <c r="I30" s="715">
        <f>+'kiadási segédtábla'!I16</f>
        <v>17751990</v>
      </c>
      <c r="J30" s="715">
        <f>+'kiadási segédtábla'!J16</f>
        <v>22054410</v>
      </c>
      <c r="K30" s="715"/>
      <c r="L30" s="551">
        <f t="shared" si="8"/>
        <v>0.53954675324675327</v>
      </c>
      <c r="M30" s="551">
        <f t="shared" si="9"/>
        <v>0.73659709543568463</v>
      </c>
      <c r="N30" s="551">
        <f t="shared" si="10"/>
        <v>0.94554691652353029</v>
      </c>
      <c r="O30" s="715"/>
      <c r="P30" s="166">
        <f t="shared" si="11"/>
        <v>1000000</v>
      </c>
      <c r="Q30" s="166">
        <f t="shared" si="12"/>
        <v>1000000</v>
      </c>
      <c r="R30" s="166">
        <f t="shared" si="13"/>
        <v>-775499</v>
      </c>
      <c r="S30" s="166">
        <f t="shared" si="14"/>
        <v>1224501</v>
      </c>
      <c r="T30" s="717">
        <f t="shared" si="15"/>
        <v>5.5407285067873305E-2</v>
      </c>
      <c r="U30" s="701"/>
      <c r="V30" s="704">
        <f t="shared" si="16"/>
        <v>0</v>
      </c>
    </row>
    <row r="31" spans="1:22" x14ac:dyDescent="0.25">
      <c r="A31" s="527" t="s">
        <v>378</v>
      </c>
      <c r="B31" s="700" t="s">
        <v>142</v>
      </c>
      <c r="C31" s="715">
        <f>+'kiadási segédtábla'!C17</f>
        <v>126531257</v>
      </c>
      <c r="D31" s="715">
        <f>+'kiadási segédtábla'!D17</f>
        <v>127250158</v>
      </c>
      <c r="E31" s="701">
        <f>+'kiadási segédtábla'!E17</f>
        <v>127700158</v>
      </c>
      <c r="F31" s="715">
        <f>+'kiadási segédtábla'!F17</f>
        <v>145312407</v>
      </c>
      <c r="G31" s="715"/>
      <c r="H31" s="715">
        <f>+'kiadási segédtábla'!H17</f>
        <v>87541344</v>
      </c>
      <c r="I31" s="715">
        <f>+'kiadási segédtábla'!I17</f>
        <v>99005461</v>
      </c>
      <c r="J31" s="715">
        <f>+'kiadási segédtábla'!J17</f>
        <v>130328150</v>
      </c>
      <c r="K31" s="715"/>
      <c r="L31" s="551">
        <f t="shared" si="8"/>
        <v>0.68794683932730361</v>
      </c>
      <c r="M31" s="551">
        <f t="shared" si="9"/>
        <v>0.77529630777747349</v>
      </c>
      <c r="N31" s="551">
        <f t="shared" si="10"/>
        <v>0.89688246647789682</v>
      </c>
      <c r="O31" s="715"/>
      <c r="P31" s="166">
        <f t="shared" si="11"/>
        <v>718901</v>
      </c>
      <c r="Q31" s="166">
        <f t="shared" si="12"/>
        <v>450000</v>
      </c>
      <c r="R31" s="166">
        <f t="shared" si="13"/>
        <v>17612249</v>
      </c>
      <c r="S31" s="166">
        <f t="shared" si="14"/>
        <v>18781150</v>
      </c>
      <c r="T31" s="717">
        <f t="shared" si="15"/>
        <v>0.14843091300357508</v>
      </c>
      <c r="U31" s="701"/>
      <c r="V31" s="704">
        <f t="shared" si="16"/>
        <v>0</v>
      </c>
    </row>
    <row r="32" spans="1:22" x14ac:dyDescent="0.25">
      <c r="A32" s="527" t="s">
        <v>159</v>
      </c>
      <c r="B32" s="700" t="s">
        <v>160</v>
      </c>
      <c r="C32" s="715">
        <f>+'kiadási segédtábla'!C18</f>
        <v>702793057</v>
      </c>
      <c r="D32" s="715">
        <f>+'kiadási segédtábla'!D18</f>
        <v>657881439</v>
      </c>
      <c r="E32" s="701">
        <f>+'kiadási segédtábla'!E18</f>
        <v>649264241</v>
      </c>
      <c r="F32" s="715">
        <f>+'kiadási segédtábla'!F18</f>
        <v>667482343</v>
      </c>
      <c r="G32" s="718"/>
      <c r="H32" s="715">
        <f>+'kiadási segédtábla'!H18</f>
        <v>139955723</v>
      </c>
      <c r="I32" s="715">
        <f>+'kiadási segédtábla'!I18</f>
        <v>147066448</v>
      </c>
      <c r="J32" s="715">
        <f>+'kiadási segédtábla'!J18</f>
        <v>168757178</v>
      </c>
      <c r="K32" s="715"/>
      <c r="L32" s="551">
        <f t="shared" si="8"/>
        <v>0.21273699895339349</v>
      </c>
      <c r="M32" s="551">
        <f t="shared" si="9"/>
        <v>0.22651247167638175</v>
      </c>
      <c r="N32" s="551">
        <f t="shared" si="10"/>
        <v>0.25282643019667111</v>
      </c>
      <c r="O32" s="715"/>
      <c r="P32" s="166">
        <f t="shared" si="11"/>
        <v>-44911618</v>
      </c>
      <c r="Q32" s="166">
        <f t="shared" si="12"/>
        <v>-8617198</v>
      </c>
      <c r="R32" s="166">
        <f t="shared" si="13"/>
        <v>18218102</v>
      </c>
      <c r="S32" s="166">
        <f t="shared" si="14"/>
        <v>-35310714</v>
      </c>
      <c r="T32" s="717">
        <f t="shared" si="15"/>
        <v>-5.0243401878115025E-2</v>
      </c>
      <c r="U32" s="701"/>
      <c r="V32" s="704">
        <f t="shared" si="16"/>
        <v>0</v>
      </c>
    </row>
    <row r="33" spans="1:22" x14ac:dyDescent="0.25">
      <c r="A33" s="527" t="s">
        <v>174</v>
      </c>
      <c r="B33" s="700" t="s">
        <v>175</v>
      </c>
      <c r="C33" s="715">
        <f>+'kiadási segédtábla'!C19</f>
        <v>69100000</v>
      </c>
      <c r="D33" s="715">
        <f>+'kiadási segédtábla'!D19</f>
        <v>50100000</v>
      </c>
      <c r="E33" s="701">
        <f>+'kiadási segédtábla'!E19</f>
        <v>50100000</v>
      </c>
      <c r="F33" s="715">
        <f>+'kiadási segédtábla'!F19</f>
        <v>77092908</v>
      </c>
      <c r="G33" s="715"/>
      <c r="H33" s="715">
        <f>+'kiadási segédtábla'!H19</f>
        <v>4531320</v>
      </c>
      <c r="I33" s="715">
        <f>+'kiadási segédtábla'!I19</f>
        <v>5007570</v>
      </c>
      <c r="J33" s="715">
        <f>+'kiadási segédtábla'!J19</f>
        <v>77092908</v>
      </c>
      <c r="K33" s="715"/>
      <c r="L33" s="551">
        <f t="shared" si="8"/>
        <v>9.0445508982035933E-2</v>
      </c>
      <c r="M33" s="551">
        <f t="shared" si="9"/>
        <v>9.995149700598803E-2</v>
      </c>
      <c r="N33" s="551">
        <f t="shared" si="10"/>
        <v>1</v>
      </c>
      <c r="O33" s="715"/>
      <c r="P33" s="166">
        <f t="shared" si="11"/>
        <v>-19000000</v>
      </c>
      <c r="Q33" s="166">
        <f t="shared" si="12"/>
        <v>0</v>
      </c>
      <c r="R33" s="166">
        <f t="shared" si="13"/>
        <v>26992908</v>
      </c>
      <c r="S33" s="166">
        <f t="shared" si="14"/>
        <v>7992908</v>
      </c>
      <c r="T33" s="717">
        <f t="shared" si="15"/>
        <v>0.11567160636758321</v>
      </c>
      <c r="U33" s="701"/>
      <c r="V33" s="704">
        <f t="shared" si="16"/>
        <v>0</v>
      </c>
    </row>
    <row r="34" spans="1:22" x14ac:dyDescent="0.25">
      <c r="A34" s="527" t="s">
        <v>184</v>
      </c>
      <c r="B34" s="700" t="s">
        <v>185</v>
      </c>
      <c r="C34" s="715">
        <f>+'kiadási segédtábla'!C20</f>
        <v>0</v>
      </c>
      <c r="D34" s="715">
        <f>+'kiadási segédtábla'!D20</f>
        <v>300766</v>
      </c>
      <c r="E34" s="715">
        <f>+'kiadási segédtábla'!E20</f>
        <v>7300766</v>
      </c>
      <c r="F34" s="715">
        <f>+'kiadási segédtábla'!F20</f>
        <v>463089</v>
      </c>
      <c r="G34" s="715"/>
      <c r="H34" s="715">
        <f>+'kiadási segédtábla'!H20</f>
        <v>300766</v>
      </c>
      <c r="I34" s="715">
        <f>+'kiadási segédtábla'!I20</f>
        <v>463089</v>
      </c>
      <c r="J34" s="715">
        <f>+'kiadási segédtábla'!J20</f>
        <v>463089</v>
      </c>
      <c r="K34" s="715"/>
      <c r="L34" s="551">
        <f t="shared" si="8"/>
        <v>1</v>
      </c>
      <c r="M34" s="551">
        <f t="shared" si="9"/>
        <v>6.3430193489285913E-2</v>
      </c>
      <c r="N34" s="551">
        <f t="shared" si="10"/>
        <v>1</v>
      </c>
      <c r="O34" s="715"/>
      <c r="P34" s="166">
        <f t="shared" si="11"/>
        <v>300766</v>
      </c>
      <c r="Q34" s="166">
        <f t="shared" si="12"/>
        <v>7000000</v>
      </c>
      <c r="R34" s="166">
        <f t="shared" si="13"/>
        <v>-6837677</v>
      </c>
      <c r="S34" s="166">
        <f t="shared" si="14"/>
        <v>463089</v>
      </c>
      <c r="T34" s="717">
        <f t="shared" si="15"/>
        <v>0</v>
      </c>
      <c r="U34" s="701"/>
      <c r="V34" s="704">
        <f t="shared" si="16"/>
        <v>0</v>
      </c>
    </row>
    <row r="35" spans="1:22" x14ac:dyDescent="0.25">
      <c r="A35" s="527" t="s">
        <v>202</v>
      </c>
      <c r="B35" s="700" t="s">
        <v>203</v>
      </c>
      <c r="C35" s="715">
        <f>+'kiadási segédtábla'!C21</f>
        <v>517816126.25</v>
      </c>
      <c r="D35" s="715">
        <f>+'kiadási segédtábla'!D21</f>
        <v>523520226</v>
      </c>
      <c r="E35" s="715">
        <f>+'kiadási segédtábla'!E21</f>
        <v>523520226</v>
      </c>
      <c r="F35" s="715">
        <f>+'kiadási segédtábla'!F21</f>
        <v>516281397</v>
      </c>
      <c r="G35" s="715"/>
      <c r="H35" s="715">
        <f>+'kiadási segédtábla'!H21</f>
        <v>271896006</v>
      </c>
      <c r="I35" s="715">
        <f>+'kiadási segédtábla'!I21</f>
        <v>392457140</v>
      </c>
      <c r="J35" s="715">
        <f>+'kiadási segédtábla'!J21</f>
        <v>516281397</v>
      </c>
      <c r="K35" s="715"/>
      <c r="L35" s="551">
        <f t="shared" si="8"/>
        <v>0.51936103420004254</v>
      </c>
      <c r="M35" s="551">
        <f t="shared" si="9"/>
        <v>0.74965038695563213</v>
      </c>
      <c r="N35" s="551">
        <f t="shared" si="10"/>
        <v>1</v>
      </c>
      <c r="O35" s="715"/>
      <c r="P35" s="166">
        <f t="shared" si="11"/>
        <v>5704099.75</v>
      </c>
      <c r="Q35" s="166">
        <f t="shared" si="12"/>
        <v>0</v>
      </c>
      <c r="R35" s="166">
        <f t="shared" si="13"/>
        <v>-7238829</v>
      </c>
      <c r="S35" s="166">
        <f t="shared" si="14"/>
        <v>-1534729.25</v>
      </c>
      <c r="T35" s="717">
        <f t="shared" si="15"/>
        <v>-2.9638498536429078E-3</v>
      </c>
      <c r="U35" s="701"/>
      <c r="V35" s="704">
        <f t="shared" si="16"/>
        <v>0</v>
      </c>
    </row>
    <row r="36" spans="1:22" x14ac:dyDescent="0.25">
      <c r="A36" s="527"/>
      <c r="B36" s="705" t="s">
        <v>448</v>
      </c>
      <c r="C36" s="715">
        <f>+'kiadási segédtábla'!C22</f>
        <v>-499153498.25</v>
      </c>
      <c r="D36" s="715">
        <f>+'kiadási segédtábla'!D22</f>
        <v>-504857598</v>
      </c>
      <c r="E36" s="715">
        <f>+'kiadási segédtábla'!E22</f>
        <v>-504857598</v>
      </c>
      <c r="F36" s="715">
        <f>-'kiadási segédtábla'!F145</f>
        <v>-497618769</v>
      </c>
      <c r="G36" s="715"/>
      <c r="H36" s="715">
        <f>-'kiadási segédtábla'!H145</f>
        <v>-253233378</v>
      </c>
      <c r="I36" s="715">
        <f>-'kiadási segédtábla'!I145</f>
        <v>-373794512</v>
      </c>
      <c r="J36" s="715">
        <f>-'kiadási segédtábla'!J145</f>
        <v>-497618769</v>
      </c>
      <c r="K36" s="715"/>
      <c r="L36" s="551">
        <f t="shared" si="8"/>
        <v>0.50159367513371567</v>
      </c>
      <c r="M36" s="551">
        <f t="shared" si="9"/>
        <v>0.74039593239913959</v>
      </c>
      <c r="N36" s="551">
        <f t="shared" si="10"/>
        <v>1</v>
      </c>
      <c r="O36" s="715"/>
      <c r="P36" s="166">
        <f t="shared" ref="P36" si="17">+(D36-C36)*P$8</f>
        <v>-5704099.75</v>
      </c>
      <c r="Q36" s="166">
        <f t="shared" ref="Q36" si="18">+(E36-D36)*Q$8</f>
        <v>0</v>
      </c>
      <c r="R36" s="166">
        <f t="shared" ref="R36" si="19">+(F36-E36)*R$8</f>
        <v>7238829</v>
      </c>
      <c r="S36" s="166">
        <f t="shared" ref="S36" si="20">SUM(P36:R36)</f>
        <v>1534729.25</v>
      </c>
      <c r="T36" s="717">
        <f t="shared" si="15"/>
        <v>-3.0746639167724193E-3</v>
      </c>
      <c r="U36" s="701"/>
      <c r="V36" s="704">
        <f t="shared" si="16"/>
        <v>0</v>
      </c>
    </row>
    <row r="37" spans="1:22" x14ac:dyDescent="0.25">
      <c r="A37" s="720"/>
      <c r="B37" s="513" t="s">
        <v>380</v>
      </c>
      <c r="C37" s="635">
        <f>SUM(C27:C36)</f>
        <v>1755110245.25</v>
      </c>
      <c r="D37" s="635">
        <f t="shared" ref="D37:F37" si="21">SUM(D27:D36)</f>
        <v>1756051845</v>
      </c>
      <c r="E37" s="635">
        <f t="shared" si="21"/>
        <v>1806051845</v>
      </c>
      <c r="F37" s="635">
        <f t="shared" si="21"/>
        <v>1802755197</v>
      </c>
      <c r="G37" s="635"/>
      <c r="H37" s="635">
        <f t="shared" ref="H37" si="22">SUM(H27:H36)</f>
        <v>687383223</v>
      </c>
      <c r="I37" s="635">
        <f t="shared" ref="I37" si="23">SUM(I27:I36)</f>
        <v>937070636</v>
      </c>
      <c r="J37" s="635">
        <f t="shared" ref="J37" si="24">SUM(J27:J36)</f>
        <v>1271085822</v>
      </c>
      <c r="K37" s="635"/>
      <c r="L37" s="563">
        <f t="shared" si="8"/>
        <v>0.39143674770035047</v>
      </c>
      <c r="M37" s="563">
        <f t="shared" si="9"/>
        <v>0.51885035227214094</v>
      </c>
      <c r="N37" s="563">
        <f t="shared" si="10"/>
        <v>0.70507954941150008</v>
      </c>
      <c r="O37" s="635"/>
      <c r="P37" s="635">
        <f>SUM(P27:P36)</f>
        <v>941599.75</v>
      </c>
      <c r="Q37" s="635">
        <f t="shared" ref="Q37:S37" si="25">SUM(Q27:Q36)</f>
        <v>50000000</v>
      </c>
      <c r="R37" s="635">
        <f t="shared" si="25"/>
        <v>-3296648</v>
      </c>
      <c r="S37" s="635">
        <f t="shared" si="25"/>
        <v>47644951.75</v>
      </c>
      <c r="T37" s="717">
        <f t="shared" si="15"/>
        <v>2.7146415377008636E-2</v>
      </c>
      <c r="U37" s="721"/>
      <c r="V37" s="722">
        <f>+S37-F37+C37</f>
        <v>0</v>
      </c>
    </row>
    <row r="38" spans="1:22" x14ac:dyDescent="0.25">
      <c r="A38" s="494"/>
      <c r="B38" s="494"/>
      <c r="C38" s="494"/>
      <c r="D38" s="494"/>
      <c r="E38" s="494"/>
      <c r="F38" s="494"/>
      <c r="G38" s="494"/>
      <c r="H38" s="494"/>
      <c r="I38" s="494"/>
      <c r="J38" s="494"/>
      <c r="K38" s="494"/>
      <c r="L38" s="556"/>
      <c r="M38" s="556"/>
      <c r="N38" s="556"/>
      <c r="O38" s="494"/>
      <c r="P38" s="494"/>
      <c r="Q38" s="494"/>
      <c r="R38" s="494"/>
      <c r="S38" s="494"/>
      <c r="T38" s="543"/>
      <c r="U38" s="494"/>
      <c r="V38" s="494"/>
    </row>
    <row r="39" spans="1:22" x14ac:dyDescent="0.25">
      <c r="A39" s="494"/>
      <c r="B39" s="494"/>
      <c r="C39" s="494"/>
      <c r="D39" s="494"/>
      <c r="E39" s="494"/>
      <c r="F39" s="494"/>
      <c r="G39" s="494"/>
      <c r="H39" s="494"/>
      <c r="I39" s="494"/>
      <c r="J39" s="494"/>
      <c r="K39" s="494"/>
      <c r="L39" s="556"/>
      <c r="M39" s="556"/>
      <c r="N39" s="556"/>
      <c r="O39" s="494"/>
      <c r="P39" s="494"/>
      <c r="Q39" s="494"/>
      <c r="R39" s="494"/>
      <c r="S39" s="494"/>
      <c r="T39" s="543"/>
      <c r="U39" s="494"/>
      <c r="V39" s="494"/>
    </row>
    <row r="40" spans="1:22" x14ac:dyDescent="0.25">
      <c r="A40" s="494"/>
      <c r="B40" s="494"/>
      <c r="C40" s="494"/>
      <c r="D40" s="494"/>
      <c r="E40" s="494"/>
      <c r="F40" s="494"/>
      <c r="G40" s="494"/>
      <c r="H40" s="494"/>
      <c r="I40" s="494"/>
      <c r="J40" s="494"/>
      <c r="K40" s="494"/>
      <c r="L40" s="556"/>
      <c r="M40" s="556"/>
      <c r="N40" s="556"/>
      <c r="O40" s="494"/>
      <c r="P40" s="494"/>
      <c r="Q40" s="494"/>
      <c r="R40" s="494"/>
      <c r="S40" s="494"/>
      <c r="T40" s="543"/>
      <c r="U40" s="494"/>
      <c r="V40" s="494"/>
    </row>
    <row r="41" spans="1:22" x14ac:dyDescent="0.25">
      <c r="A41" s="500"/>
      <c r="B41" s="723" t="s">
        <v>417</v>
      </c>
      <c r="C41" s="724">
        <f>+C19-C37</f>
        <v>-0.25</v>
      </c>
      <c r="D41" s="724">
        <f>+D19-D37</f>
        <v>0</v>
      </c>
      <c r="E41" s="724">
        <f>+E19-E37</f>
        <v>0</v>
      </c>
      <c r="F41" s="724">
        <f>+F19-F37</f>
        <v>0</v>
      </c>
      <c r="G41" s="724"/>
      <c r="H41" s="724">
        <f>+H19-H37</f>
        <v>498451826</v>
      </c>
      <c r="I41" s="724">
        <f>+I19-I37</f>
        <v>518925366</v>
      </c>
      <c r="J41" s="724">
        <f>+J19-J37</f>
        <v>424460422</v>
      </c>
      <c r="K41" s="724"/>
      <c r="L41" s="725">
        <f>IF(D41=0,0,H41/D41)</f>
        <v>0</v>
      </c>
      <c r="M41" s="725">
        <f>IF(E41=0,0,I41/E41)</f>
        <v>0</v>
      </c>
      <c r="N41" s="725">
        <f>IF(F41=0,0,J41/F41)</f>
        <v>0</v>
      </c>
      <c r="O41" s="724"/>
      <c r="P41" s="724">
        <f>+P19-P37</f>
        <v>0.25</v>
      </c>
      <c r="Q41" s="724">
        <f>+Q19-Q37</f>
        <v>0</v>
      </c>
      <c r="R41" s="724">
        <f>+R19-R37</f>
        <v>0</v>
      </c>
      <c r="S41" s="724">
        <f>+S19-S37</f>
        <v>0.25</v>
      </c>
      <c r="T41" s="725">
        <f t="shared" si="15"/>
        <v>-1</v>
      </c>
      <c r="U41" s="726"/>
      <c r="V41" s="727">
        <f>+S41-F41+C41</f>
        <v>0</v>
      </c>
    </row>
    <row r="42" spans="1:22" x14ac:dyDescent="0.25">
      <c r="A42" s="537"/>
      <c r="B42" s="537"/>
      <c r="C42" s="538"/>
      <c r="D42" s="538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494"/>
      <c r="U42" s="537"/>
      <c r="V42" s="494"/>
    </row>
    <row r="43" spans="1:22" x14ac:dyDescent="0.25">
      <c r="A43" s="537"/>
      <c r="B43" s="537"/>
      <c r="C43" s="538"/>
      <c r="D43" s="538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494"/>
      <c r="U43" s="537"/>
      <c r="V43" s="494"/>
    </row>
    <row r="45" spans="1:22" x14ac:dyDescent="0.25">
      <c r="E45" s="13"/>
      <c r="F45" s="13"/>
      <c r="G45" s="13"/>
      <c r="K45" s="13"/>
      <c r="O45" s="13"/>
      <c r="P45" s="13"/>
      <c r="Q45" s="13"/>
      <c r="R45" s="13"/>
      <c r="S45" s="13"/>
      <c r="U45" s="13"/>
    </row>
    <row r="46" spans="1:22" x14ac:dyDescent="0.25">
      <c r="E46" s="13"/>
      <c r="F46" s="13"/>
      <c r="G46" s="13"/>
      <c r="H46" s="13"/>
      <c r="I46" s="13"/>
      <c r="J46" s="13"/>
      <c r="K46" s="13"/>
      <c r="O46" s="13"/>
      <c r="P46" s="13"/>
      <c r="Q46" s="13"/>
      <c r="R46" s="13"/>
      <c r="S46" s="13"/>
      <c r="U46" s="13"/>
    </row>
    <row r="49" spans="2:21" x14ac:dyDescent="0.25">
      <c r="H49" s="13"/>
      <c r="I49" s="13"/>
      <c r="J49" s="13"/>
    </row>
    <row r="51" spans="2:21" x14ac:dyDescent="0.25">
      <c r="H51" s="13"/>
      <c r="I51" s="13"/>
      <c r="J51" s="13"/>
    </row>
    <row r="52" spans="2:21" x14ac:dyDescent="0.25">
      <c r="H52" s="13"/>
      <c r="I52" s="13"/>
      <c r="J52" s="13"/>
    </row>
    <row r="53" spans="2:21" x14ac:dyDescent="0.25">
      <c r="E53" s="13"/>
      <c r="F53" s="13"/>
      <c r="G53" s="13"/>
      <c r="H53" s="13"/>
      <c r="I53" s="13"/>
      <c r="J53" s="13"/>
      <c r="K53" s="13"/>
      <c r="O53" s="13"/>
      <c r="P53" s="13"/>
      <c r="Q53" s="13"/>
      <c r="R53" s="13"/>
      <c r="S53" s="13"/>
      <c r="U53" s="13"/>
    </row>
    <row r="54" spans="2:21" x14ac:dyDescent="0.25">
      <c r="B54" s="13"/>
      <c r="E54" s="13"/>
      <c r="F54" s="13"/>
      <c r="G54" s="13"/>
      <c r="H54" s="13"/>
      <c r="I54" s="13"/>
      <c r="J54" s="13"/>
      <c r="K54" s="13"/>
      <c r="O54" s="13"/>
      <c r="P54" s="13"/>
      <c r="Q54" s="13"/>
      <c r="R54" s="13"/>
      <c r="S54" s="13"/>
      <c r="U54" s="13"/>
    </row>
    <row r="55" spans="2:21" x14ac:dyDescent="0.25">
      <c r="B55" s="13"/>
      <c r="H55" s="13"/>
      <c r="I55" s="13"/>
      <c r="J55" s="13"/>
    </row>
  </sheetData>
  <mergeCells count="15">
    <mergeCell ref="V24:V26"/>
    <mergeCell ref="V7:V9"/>
    <mergeCell ref="A1:F1"/>
    <mergeCell ref="H24:N24"/>
    <mergeCell ref="H25:J25"/>
    <mergeCell ref="L25:N25"/>
    <mergeCell ref="C24:F25"/>
    <mergeCell ref="P24:T25"/>
    <mergeCell ref="P7:T7"/>
    <mergeCell ref="H8:J8"/>
    <mergeCell ref="L8:N8"/>
    <mergeCell ref="A6:V6"/>
    <mergeCell ref="A23:V23"/>
    <mergeCell ref="C7:F7"/>
    <mergeCell ref="H7:N7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scale="47" fitToHeight="0" orientation="landscape" r:id="rId1"/>
  <headerFooter alignWithMargins="0">
    <oddHeader>&amp;R&amp;"Arial,Félkövér dőlt"&amp;A  /
&amp;"Arial,Dőlt"&amp;8&amp;F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7"/>
  <sheetViews>
    <sheetView view="pageBreakPreview" topLeftCell="B1" zoomScale="75" zoomScaleNormal="50" zoomScaleSheetLayoutView="75" workbookViewId="0">
      <pane ySplit="11" topLeftCell="A87" activePane="bottomLeft" state="frozen"/>
      <selection pane="bottomLeft" activeCell="P8" sqref="P8:R8"/>
    </sheetView>
  </sheetViews>
  <sheetFormatPr defaultRowHeight="13.2" x14ac:dyDescent="0.25"/>
  <cols>
    <col min="1" max="1" width="8.44140625" style="9" customWidth="1"/>
    <col min="2" max="2" width="36.44140625" style="9" customWidth="1"/>
    <col min="3" max="3" width="19.44140625" style="9" customWidth="1"/>
    <col min="4" max="4" width="15.5546875" style="12" customWidth="1"/>
    <col min="5" max="6" width="15.5546875" customWidth="1"/>
    <col min="7" max="7" width="0.6640625" customWidth="1"/>
    <col min="8" max="9" width="15.5546875" style="12" customWidth="1"/>
    <col min="10" max="10" width="15.5546875" customWidth="1"/>
    <col min="11" max="11" width="0.6640625" customWidth="1"/>
    <col min="12" max="14" width="10.88671875" customWidth="1"/>
    <col min="15" max="15" width="0.6640625" customWidth="1"/>
    <col min="16" max="19" width="15.5546875" style="12" customWidth="1"/>
    <col min="21" max="21" width="0.6640625" customWidth="1"/>
    <col min="22" max="22" width="5.109375" customWidth="1"/>
  </cols>
  <sheetData>
    <row r="1" spans="1:27" ht="24.6" x14ac:dyDescent="0.25">
      <c r="A1" s="83" t="s">
        <v>479</v>
      </c>
      <c r="B1" s="489"/>
      <c r="C1" s="489"/>
      <c r="D1" s="489"/>
      <c r="E1" s="489"/>
      <c r="F1" s="489"/>
      <c r="G1" s="490"/>
      <c r="H1" s="491"/>
      <c r="I1" s="491"/>
      <c r="J1" s="492" t="str">
        <f>+'1. Sülysáp összesen'!J1</f>
        <v>2018. ÉV KÖLTSÉGVETÉS</v>
      </c>
      <c r="K1" s="83" t="s">
        <v>427</v>
      </c>
      <c r="L1" s="83" t="s">
        <v>427</v>
      </c>
      <c r="M1" s="491"/>
      <c r="N1" s="491"/>
      <c r="O1" s="491"/>
      <c r="P1" s="491"/>
      <c r="Q1" s="491"/>
      <c r="R1" s="491"/>
      <c r="S1" s="491"/>
      <c r="T1" s="491"/>
      <c r="U1" s="491"/>
      <c r="V1" s="544"/>
      <c r="W1" s="491"/>
      <c r="X1" s="491"/>
      <c r="Y1" s="28"/>
      <c r="Z1" s="28"/>
      <c r="AA1" s="28"/>
    </row>
    <row r="2" spans="1:27" x14ac:dyDescent="0.25">
      <c r="A2" s="493"/>
      <c r="B2" s="493"/>
      <c r="C2" s="493"/>
      <c r="D2" s="493"/>
      <c r="E2" s="494"/>
      <c r="F2" s="494"/>
      <c r="G2" s="494"/>
      <c r="H2" s="493">
        <f>'1. Sülysáp összesen'!H2</f>
        <v>0</v>
      </c>
      <c r="I2" s="493"/>
      <c r="J2" s="494"/>
      <c r="K2" s="494"/>
      <c r="L2" s="493"/>
      <c r="M2" s="493"/>
      <c r="N2" s="493"/>
      <c r="O2" s="494"/>
      <c r="P2" s="493"/>
      <c r="Q2" s="493"/>
      <c r="R2" s="493"/>
      <c r="S2" s="493"/>
      <c r="T2" s="494"/>
      <c r="U2" s="494"/>
      <c r="V2" s="687"/>
      <c r="W2" s="494"/>
      <c r="X2" s="494"/>
    </row>
    <row r="3" spans="1:27" x14ac:dyDescent="0.25">
      <c r="A3" s="493"/>
      <c r="B3" s="493"/>
      <c r="C3" s="495"/>
      <c r="D3" s="493"/>
      <c r="E3" s="494"/>
      <c r="F3" s="494"/>
      <c r="G3" s="494"/>
      <c r="H3" s="493"/>
      <c r="I3" s="493"/>
      <c r="J3" s="494"/>
      <c r="K3" s="494"/>
      <c r="L3" s="493"/>
      <c r="M3" s="493"/>
      <c r="N3" s="493"/>
      <c r="O3" s="494"/>
      <c r="P3" s="493"/>
      <c r="Q3" s="493"/>
      <c r="R3" s="493"/>
      <c r="S3" s="493"/>
      <c r="T3" s="494"/>
      <c r="U3" s="494"/>
      <c r="V3" s="687"/>
      <c r="W3" s="494"/>
      <c r="X3" s="494"/>
    </row>
    <row r="4" spans="1:27" hidden="1" x14ac:dyDescent="0.25">
      <c r="A4" s="493"/>
      <c r="B4" s="493"/>
      <c r="C4" s="493"/>
      <c r="D4" s="493"/>
      <c r="E4" s="494"/>
      <c r="F4" s="494"/>
      <c r="G4" s="494"/>
      <c r="H4" s="493"/>
      <c r="I4" s="493"/>
      <c r="J4" s="494"/>
      <c r="K4" s="494"/>
      <c r="L4" s="493"/>
      <c r="M4" s="493"/>
      <c r="N4" s="493"/>
      <c r="O4" s="494"/>
      <c r="P4" s="493"/>
      <c r="Q4" s="493"/>
      <c r="R4" s="493"/>
      <c r="S4" s="493"/>
      <c r="T4" s="494"/>
      <c r="U4" s="494"/>
      <c r="V4" s="687"/>
      <c r="W4" s="494"/>
      <c r="X4" s="494"/>
    </row>
    <row r="5" spans="1:27" hidden="1" x14ac:dyDescent="0.25">
      <c r="A5" s="493"/>
      <c r="B5" s="493"/>
      <c r="C5" s="493"/>
      <c r="D5" s="493"/>
      <c r="E5" s="494"/>
      <c r="F5" s="494"/>
      <c r="G5" s="494"/>
      <c r="H5" s="493"/>
      <c r="I5" s="493"/>
      <c r="J5" s="494"/>
      <c r="K5" s="494"/>
      <c r="L5" s="493"/>
      <c r="M5" s="493"/>
      <c r="N5" s="493"/>
      <c r="O5" s="494"/>
      <c r="P5" s="493"/>
      <c r="Q5" s="493"/>
      <c r="R5" s="493"/>
      <c r="S5" s="493"/>
      <c r="T5" s="494"/>
      <c r="U5" s="494"/>
      <c r="V5" s="687"/>
      <c r="W5" s="494"/>
      <c r="X5" s="494"/>
    </row>
    <row r="6" spans="1:27" x14ac:dyDescent="0.25">
      <c r="A6" s="496"/>
      <c r="B6" s="496"/>
      <c r="C6" s="496"/>
      <c r="D6" s="496"/>
      <c r="E6" s="497"/>
      <c r="F6" s="497"/>
      <c r="G6" s="497"/>
      <c r="H6" s="496"/>
      <c r="I6" s="496"/>
      <c r="J6" s="497"/>
      <c r="K6" s="497"/>
      <c r="L6" s="496"/>
      <c r="M6" s="496"/>
      <c r="N6" s="496"/>
      <c r="O6" s="497"/>
      <c r="P6" s="493"/>
      <c r="Q6" s="493"/>
      <c r="R6" s="493"/>
      <c r="S6" s="493"/>
      <c r="T6" s="497"/>
      <c r="U6" s="497"/>
      <c r="V6" s="687"/>
      <c r="W6" s="494"/>
      <c r="X6" s="494"/>
    </row>
    <row r="7" spans="1:27" ht="15.6" x14ac:dyDescent="0.25">
      <c r="A7" s="498"/>
      <c r="B7" s="499"/>
      <c r="C7" s="1093" t="s">
        <v>415</v>
      </c>
      <c r="D7" s="1114"/>
      <c r="E7" s="1114"/>
      <c r="F7" s="1115"/>
      <c r="G7" s="64"/>
      <c r="H7" s="1093" t="s">
        <v>422</v>
      </c>
      <c r="I7" s="1094"/>
      <c r="J7" s="1094"/>
      <c r="K7" s="1094"/>
      <c r="L7" s="1094"/>
      <c r="M7" s="1094"/>
      <c r="N7" s="1095"/>
      <c r="O7" s="64"/>
      <c r="P7" s="1093" t="s">
        <v>411</v>
      </c>
      <c r="Q7" s="1114"/>
      <c r="R7" s="1114"/>
      <c r="S7" s="1114"/>
      <c r="T7" s="1115"/>
      <c r="U7" s="497"/>
      <c r="V7" s="687"/>
      <c r="W7" s="494"/>
      <c r="X7" s="494"/>
    </row>
    <row r="8" spans="1:27" x14ac:dyDescent="0.25">
      <c r="A8" s="500"/>
      <c r="B8" s="501"/>
      <c r="C8" s="60"/>
      <c r="D8" s="60"/>
      <c r="E8" s="60"/>
      <c r="F8" s="60"/>
      <c r="G8" s="60"/>
      <c r="H8" s="1096" t="s">
        <v>424</v>
      </c>
      <c r="I8" s="1097"/>
      <c r="J8" s="1098"/>
      <c r="K8" s="61"/>
      <c r="L8" s="1096" t="s">
        <v>423</v>
      </c>
      <c r="M8" s="1097"/>
      <c r="N8" s="1098"/>
      <c r="O8" s="60"/>
      <c r="P8" s="579">
        <f>+'1. Sülysáp összesen'!P8</f>
        <v>1</v>
      </c>
      <c r="Q8" s="579">
        <f>+'1. Sülysáp összesen'!Q8</f>
        <v>1</v>
      </c>
      <c r="R8" s="579">
        <f>+'1. Sülysáp összesen'!R8</f>
        <v>1</v>
      </c>
      <c r="S8" s="503"/>
      <c r="T8" s="503"/>
      <c r="U8" s="497"/>
      <c r="V8" s="692" t="str">
        <f>+'1. Sülysáp összesen'!V5</f>
        <v>F-oszlop</v>
      </c>
      <c r="W8" s="494"/>
      <c r="X8" s="494"/>
    </row>
    <row r="9" spans="1:27" ht="20.100000000000001" customHeight="1" x14ac:dyDescent="0.25">
      <c r="A9" s="85"/>
      <c r="B9" s="93" t="s">
        <v>374</v>
      </c>
      <c r="C9" s="94">
        <f>+C96</f>
        <v>1700938440</v>
      </c>
      <c r="D9" s="94">
        <f>+D96</f>
        <v>1701880040</v>
      </c>
      <c r="E9" s="94">
        <f>+E96</f>
        <v>1751880040</v>
      </c>
      <c r="F9" s="94">
        <f>+F96</f>
        <v>1748653511</v>
      </c>
      <c r="G9" s="94"/>
      <c r="H9" s="94">
        <f>+H96</f>
        <v>1151048091</v>
      </c>
      <c r="I9" s="94">
        <f>+I96</f>
        <v>1414490178</v>
      </c>
      <c r="J9" s="94">
        <f>+J96</f>
        <v>1642230047</v>
      </c>
      <c r="K9" s="86"/>
      <c r="L9" s="95">
        <f>H9/C9</f>
        <v>0.67671355055036564</v>
      </c>
      <c r="M9" s="95">
        <f>I9/D9</f>
        <v>0.83113389002435212</v>
      </c>
      <c r="N9" s="95">
        <f>J9/E9</f>
        <v>0.93741010200675612</v>
      </c>
      <c r="O9" s="86"/>
      <c r="P9" s="94">
        <f>+P96</f>
        <v>941600</v>
      </c>
      <c r="Q9" s="94">
        <f>+Q96</f>
        <v>50000000</v>
      </c>
      <c r="R9" s="94">
        <f>+R96</f>
        <v>-3226529</v>
      </c>
      <c r="S9" s="94">
        <f>+S96</f>
        <v>47715071</v>
      </c>
      <c r="T9" s="96">
        <f>IF(C9=0,0,+S9/C9)</f>
        <v>2.8052203347229899E-2</v>
      </c>
      <c r="U9" s="87" t="e">
        <f>+R9-D9+B9</f>
        <v>#VALUE!</v>
      </c>
      <c r="V9" s="688">
        <f t="shared" ref="V9" si="0">+S9-F9+C9</f>
        <v>0</v>
      </c>
      <c r="W9" s="494"/>
      <c r="X9" s="494"/>
    </row>
    <row r="10" spans="1:27" x14ac:dyDescent="0.25">
      <c r="A10" s="500"/>
      <c r="B10" s="501"/>
      <c r="C10" s="60"/>
      <c r="D10" s="60"/>
      <c r="E10" s="60"/>
      <c r="F10" s="60"/>
      <c r="G10" s="60"/>
      <c r="H10" s="481"/>
      <c r="I10" s="482"/>
      <c r="J10" s="483"/>
      <c r="K10" s="61"/>
      <c r="L10" s="481"/>
      <c r="M10" s="482"/>
      <c r="N10" s="483"/>
      <c r="O10" s="60"/>
      <c r="P10" s="504"/>
      <c r="Q10" s="504"/>
      <c r="R10" s="504"/>
      <c r="S10" s="505"/>
      <c r="T10" s="505"/>
      <c r="U10" s="506"/>
      <c r="V10" s="506"/>
      <c r="W10" s="507"/>
      <c r="X10" s="494"/>
    </row>
    <row r="11" spans="1:27" ht="71.099999999999994" customHeight="1" x14ac:dyDescent="0.25">
      <c r="A11" s="19" t="s">
        <v>375</v>
      </c>
      <c r="B11" s="19" t="s">
        <v>373</v>
      </c>
      <c r="C11" s="163" t="s">
        <v>484</v>
      </c>
      <c r="D11" s="141" t="s">
        <v>485</v>
      </c>
      <c r="E11" s="141" t="s">
        <v>486</v>
      </c>
      <c r="F11" s="164" t="s">
        <v>487</v>
      </c>
      <c r="G11" s="141"/>
      <c r="H11" s="160" t="s">
        <v>497</v>
      </c>
      <c r="I11" s="142" t="s">
        <v>498</v>
      </c>
      <c r="J11" s="142" t="s">
        <v>499</v>
      </c>
      <c r="K11" s="141"/>
      <c r="L11" s="143" t="s">
        <v>500</v>
      </c>
      <c r="M11" s="143" t="s">
        <v>502</v>
      </c>
      <c r="N11" s="161" t="s">
        <v>501</v>
      </c>
      <c r="O11" s="141"/>
      <c r="P11" s="160" t="s">
        <v>494</v>
      </c>
      <c r="Q11" s="142" t="s">
        <v>495</v>
      </c>
      <c r="R11" s="142" t="s">
        <v>496</v>
      </c>
      <c r="S11" s="142" t="s">
        <v>412</v>
      </c>
      <c r="T11" s="161" t="s">
        <v>413</v>
      </c>
      <c r="U11" s="20"/>
      <c r="V11" s="52" t="s">
        <v>417</v>
      </c>
      <c r="W11" s="494"/>
      <c r="X11" s="494"/>
    </row>
    <row r="12" spans="1:27" x14ac:dyDescent="0.25">
      <c r="A12" s="508"/>
      <c r="B12" s="509"/>
      <c r="C12" s="132"/>
      <c r="D12" s="132"/>
      <c r="E12" s="64"/>
      <c r="F12" s="64"/>
      <c r="G12" s="64"/>
      <c r="H12" s="64"/>
      <c r="I12" s="64"/>
      <c r="J12" s="64"/>
      <c r="K12" s="64"/>
      <c r="L12" s="510"/>
      <c r="M12" s="510"/>
      <c r="N12" s="510"/>
      <c r="O12" s="64"/>
      <c r="P12" s="503"/>
      <c r="Q12" s="503"/>
      <c r="R12" s="503"/>
      <c r="S12" s="503"/>
      <c r="T12" s="511"/>
      <c r="U12" s="64"/>
      <c r="V12" s="153"/>
      <c r="W12" s="494"/>
      <c r="X12" s="494"/>
    </row>
    <row r="13" spans="1:27" ht="26.4" x14ac:dyDescent="0.25">
      <c r="A13" s="512" t="s">
        <v>242</v>
      </c>
      <c r="B13" s="513" t="s">
        <v>243</v>
      </c>
      <c r="C13" s="130">
        <f>+C14+C21+C22+C23+C24+C25</f>
        <v>617137846</v>
      </c>
      <c r="D13" s="130">
        <f>+D14+D21+D22+D23+D24+D25</f>
        <v>600347025</v>
      </c>
      <c r="E13" s="130">
        <f>+E14+E21+E22+E23+E24+E25</f>
        <v>606967468</v>
      </c>
      <c r="F13" s="130">
        <f>+F14+F21+F22+F23+F24+F25</f>
        <v>620873897</v>
      </c>
      <c r="G13" s="130"/>
      <c r="H13" s="130">
        <f>+H14+H21+H22+H23+H24+H25</f>
        <v>311587916</v>
      </c>
      <c r="I13" s="130">
        <f>+I14+I21+I22+I23+I24+I25</f>
        <v>479165852</v>
      </c>
      <c r="J13" s="130">
        <f>+J14+J21+J22+J23+J24+J25</f>
        <v>620873897</v>
      </c>
      <c r="K13" s="130"/>
      <c r="L13" s="514">
        <f>IF(D13=0,0,H13/D13)</f>
        <v>0.5190130091841465</v>
      </c>
      <c r="M13" s="514">
        <f>IF(E13=0,0,I13/E13)</f>
        <v>0.78944239561781593</v>
      </c>
      <c r="N13" s="514">
        <f>IF(F13=0,0,J13/F13)</f>
        <v>1</v>
      </c>
      <c r="O13" s="130"/>
      <c r="P13" s="130">
        <f t="shared" ref="P13" si="1">+(D13-C13)*P$8</f>
        <v>-16790821</v>
      </c>
      <c r="Q13" s="130">
        <f t="shared" ref="Q13" si="2">+(E13-D13)*Q$8</f>
        <v>6620443</v>
      </c>
      <c r="R13" s="130">
        <f t="shared" ref="R13" si="3">+(F13-E13)*R$8</f>
        <v>13906429</v>
      </c>
      <c r="S13" s="130">
        <f t="shared" ref="S13" si="4">SUM(P13:R13)</f>
        <v>3736051</v>
      </c>
      <c r="T13" s="514">
        <f t="shared" ref="T13" si="5">IF(C13=0,0,+S13/C13)</f>
        <v>6.0538354991763058E-3</v>
      </c>
      <c r="U13" s="60"/>
      <c r="V13" s="690">
        <f>+S13-F13+C13</f>
        <v>0</v>
      </c>
      <c r="W13" s="494"/>
      <c r="X13" s="494"/>
    </row>
    <row r="14" spans="1:27" x14ac:dyDescent="0.25">
      <c r="A14" s="515" t="s">
        <v>244</v>
      </c>
      <c r="B14" s="516" t="s">
        <v>245</v>
      </c>
      <c r="C14" s="517">
        <f>SUM(C15:C20)</f>
        <v>527367846</v>
      </c>
      <c r="D14" s="517">
        <f t="shared" ref="D14:F14" si="6">SUM(D15:D20)</f>
        <v>531022737</v>
      </c>
      <c r="E14" s="517">
        <f t="shared" si="6"/>
        <v>537643180</v>
      </c>
      <c r="F14" s="517">
        <f t="shared" si="6"/>
        <v>547659376</v>
      </c>
      <c r="G14" s="167"/>
      <c r="H14" s="517">
        <f t="shared" ref="H14" si="7">SUM(H15:H20)</f>
        <v>277903623</v>
      </c>
      <c r="I14" s="517">
        <f t="shared" ref="I14" si="8">SUM(I15:I20)</f>
        <v>421798747</v>
      </c>
      <c r="J14" s="517">
        <f t="shared" ref="J14" si="9">SUM(J15:J20)</f>
        <v>547659376</v>
      </c>
      <c r="K14" s="167"/>
      <c r="L14" s="518">
        <f t="shared" ref="L14:L77" si="10">IF(D14=0,0,H14/D14)</f>
        <v>0.52333657984215465</v>
      </c>
      <c r="M14" s="518">
        <f t="shared" ref="M14:M77" si="11">IF(E14=0,0,I14/E14)</f>
        <v>0.78453286992313376</v>
      </c>
      <c r="N14" s="518">
        <f t="shared" ref="N14:N77" si="12">IF(F14=0,0,J14/F14)</f>
        <v>1</v>
      </c>
      <c r="O14" s="167"/>
      <c r="P14" s="167">
        <f t="shared" ref="P14:P24" si="13">+(D14-C14)*P$8</f>
        <v>3654891</v>
      </c>
      <c r="Q14" s="167">
        <f t="shared" ref="Q14:Q24" si="14">+(E14-D14)*Q$8</f>
        <v>6620443</v>
      </c>
      <c r="R14" s="167">
        <f t="shared" ref="R14:R24" si="15">+(F14-E14)*R$8</f>
        <v>10016196</v>
      </c>
      <c r="S14" s="167">
        <f t="shared" ref="S14" si="16">SUM(P14:R14)</f>
        <v>20291530</v>
      </c>
      <c r="T14" s="514">
        <f t="shared" ref="T14:T50" si="17">IF(C14=0,0,+S14/C14)</f>
        <v>3.8476995049865063E-2</v>
      </c>
      <c r="U14" s="167"/>
      <c r="V14" s="690">
        <f t="shared" ref="V14:V77" si="18">+S14-F14+C14</f>
        <v>0</v>
      </c>
      <c r="W14" s="494"/>
      <c r="X14" s="494"/>
    </row>
    <row r="15" spans="1:27" ht="26.4" x14ac:dyDescent="0.25">
      <c r="A15" s="508" t="s">
        <v>246</v>
      </c>
      <c r="B15" s="519" t="s">
        <v>386</v>
      </c>
      <c r="C15" s="132">
        <v>170216516</v>
      </c>
      <c r="D15" s="64">
        <v>170216516</v>
      </c>
      <c r="E15" s="64">
        <v>170216516</v>
      </c>
      <c r="F15" s="64">
        <v>170337296</v>
      </c>
      <c r="G15" s="64"/>
      <c r="H15" s="64">
        <v>88633367</v>
      </c>
      <c r="I15" s="64">
        <v>129485330</v>
      </c>
      <c r="J15" s="64">
        <v>170337296</v>
      </c>
      <c r="K15" s="64"/>
      <c r="L15" s="518">
        <f t="shared" si="10"/>
        <v>0.5207095591123484</v>
      </c>
      <c r="M15" s="518">
        <f t="shared" si="11"/>
        <v>0.76070955417745711</v>
      </c>
      <c r="N15" s="518">
        <f t="shared" si="12"/>
        <v>1</v>
      </c>
      <c r="O15" s="64"/>
      <c r="P15" s="503">
        <f>+(D15-C15)*P$8</f>
        <v>0</v>
      </c>
      <c r="Q15" s="503">
        <f t="shared" si="14"/>
        <v>0</v>
      </c>
      <c r="R15" s="503">
        <f t="shared" si="15"/>
        <v>120780</v>
      </c>
      <c r="S15" s="503">
        <f>SUM(P15:R15)</f>
        <v>120780</v>
      </c>
      <c r="T15" s="514">
        <f t="shared" si="17"/>
        <v>7.0956686717756577E-4</v>
      </c>
      <c r="U15" s="64"/>
      <c r="V15" s="690">
        <f t="shared" si="18"/>
        <v>0</v>
      </c>
      <c r="W15" s="494"/>
      <c r="X15" s="494"/>
    </row>
    <row r="16" spans="1:27" ht="26.4" x14ac:dyDescent="0.25">
      <c r="A16" s="508" t="s">
        <v>247</v>
      </c>
      <c r="B16" s="509" t="s">
        <v>418</v>
      </c>
      <c r="C16" s="132">
        <v>183736367</v>
      </c>
      <c r="D16" s="132">
        <v>183736367</v>
      </c>
      <c r="E16" s="132">
        <v>183736367</v>
      </c>
      <c r="F16" s="64">
        <v>186724484</v>
      </c>
      <c r="G16" s="64"/>
      <c r="H16" s="64">
        <v>94415786</v>
      </c>
      <c r="I16" s="64">
        <v>140307947</v>
      </c>
      <c r="J16" s="64">
        <v>186724484</v>
      </c>
      <c r="K16" s="64"/>
      <c r="L16" s="518">
        <f t="shared" si="10"/>
        <v>0.51386553212952124</v>
      </c>
      <c r="M16" s="518">
        <f t="shared" si="11"/>
        <v>0.76363732063995804</v>
      </c>
      <c r="N16" s="518">
        <f t="shared" si="12"/>
        <v>1</v>
      </c>
      <c r="O16" s="64"/>
      <c r="P16" s="503">
        <f t="shared" si="13"/>
        <v>0</v>
      </c>
      <c r="Q16" s="503">
        <f t="shared" si="14"/>
        <v>0</v>
      </c>
      <c r="R16" s="503">
        <f t="shared" si="15"/>
        <v>2988117</v>
      </c>
      <c r="S16" s="503">
        <f t="shared" ref="S16:S19" si="19">SUM(P16:R16)</f>
        <v>2988117</v>
      </c>
      <c r="T16" s="514">
        <f t="shared" si="17"/>
        <v>1.6263067833489925E-2</v>
      </c>
      <c r="U16" s="64"/>
      <c r="V16" s="690">
        <f t="shared" si="18"/>
        <v>0</v>
      </c>
      <c r="W16" s="494"/>
      <c r="X16" s="494"/>
    </row>
    <row r="17" spans="1:24" ht="26.4" x14ac:dyDescent="0.25">
      <c r="A17" s="508" t="s">
        <v>248</v>
      </c>
      <c r="B17" s="509" t="s">
        <v>419</v>
      </c>
      <c r="C17" s="132">
        <v>163336873</v>
      </c>
      <c r="D17" s="64">
        <v>165217471</v>
      </c>
      <c r="E17" s="64">
        <v>165217471</v>
      </c>
      <c r="F17" s="64">
        <v>167894114</v>
      </c>
      <c r="G17" s="64"/>
      <c r="H17" s="64">
        <v>87192560</v>
      </c>
      <c r="I17" s="64">
        <v>134914089</v>
      </c>
      <c r="J17" s="64">
        <v>167894114</v>
      </c>
      <c r="K17" s="64"/>
      <c r="L17" s="518">
        <f t="shared" si="10"/>
        <v>0.52774418753813268</v>
      </c>
      <c r="M17" s="518">
        <f t="shared" si="11"/>
        <v>0.81658488163155574</v>
      </c>
      <c r="N17" s="518">
        <f t="shared" si="12"/>
        <v>1</v>
      </c>
      <c r="O17" s="64"/>
      <c r="P17" s="503">
        <f t="shared" si="13"/>
        <v>1880598</v>
      </c>
      <c r="Q17" s="503">
        <f t="shared" si="14"/>
        <v>0</v>
      </c>
      <c r="R17" s="503">
        <f t="shared" si="15"/>
        <v>2676643</v>
      </c>
      <c r="S17" s="503">
        <f t="shared" si="19"/>
        <v>4557241</v>
      </c>
      <c r="T17" s="514">
        <f t="shared" si="17"/>
        <v>2.7900870858474192E-2</v>
      </c>
      <c r="U17" s="64"/>
      <c r="V17" s="690">
        <f t="shared" si="18"/>
        <v>0</v>
      </c>
      <c r="W17" s="494"/>
      <c r="X17" s="494"/>
    </row>
    <row r="18" spans="1:24" ht="26.4" x14ac:dyDescent="0.25">
      <c r="A18" s="508" t="s">
        <v>249</v>
      </c>
      <c r="B18" s="509" t="s">
        <v>420</v>
      </c>
      <c r="C18" s="520">
        <v>10078090</v>
      </c>
      <c r="D18" s="132">
        <v>10078090</v>
      </c>
      <c r="E18" s="132">
        <v>10078090</v>
      </c>
      <c r="F18" s="521">
        <v>11303004</v>
      </c>
      <c r="G18" s="521"/>
      <c r="H18" s="64">
        <v>5887617</v>
      </c>
      <c r="I18" s="521">
        <v>8630442</v>
      </c>
      <c r="J18" s="521">
        <v>11303004</v>
      </c>
      <c r="K18" s="521"/>
      <c r="L18" s="518">
        <f t="shared" si="10"/>
        <v>0.58419968466247074</v>
      </c>
      <c r="M18" s="518">
        <f t="shared" si="11"/>
        <v>0.85635690889841232</v>
      </c>
      <c r="N18" s="518">
        <f t="shared" si="12"/>
        <v>1</v>
      </c>
      <c r="O18" s="521"/>
      <c r="P18" s="503">
        <f t="shared" si="13"/>
        <v>0</v>
      </c>
      <c r="Q18" s="503">
        <f t="shared" si="14"/>
        <v>0</v>
      </c>
      <c r="R18" s="503">
        <f t="shared" si="15"/>
        <v>1224914</v>
      </c>
      <c r="S18" s="503">
        <f t="shared" si="19"/>
        <v>1224914</v>
      </c>
      <c r="T18" s="514">
        <f t="shared" si="17"/>
        <v>0.1215422763638745</v>
      </c>
      <c r="U18" s="521"/>
      <c r="V18" s="690">
        <f t="shared" si="18"/>
        <v>0</v>
      </c>
      <c r="W18" s="494"/>
      <c r="X18" s="494"/>
    </row>
    <row r="19" spans="1:24" x14ac:dyDescent="0.25">
      <c r="A19" s="508" t="s">
        <v>250</v>
      </c>
      <c r="B19" s="519" t="s">
        <v>251</v>
      </c>
      <c r="C19" s="132">
        <v>0</v>
      </c>
      <c r="D19" s="64">
        <v>1339692</v>
      </c>
      <c r="E19" s="64">
        <v>1472098</v>
      </c>
      <c r="F19" s="64">
        <v>4477840</v>
      </c>
      <c r="G19" s="64"/>
      <c r="H19" s="64">
        <v>1339692</v>
      </c>
      <c r="I19" s="64">
        <v>1538301</v>
      </c>
      <c r="J19" s="64">
        <v>4477840</v>
      </c>
      <c r="K19" s="64"/>
      <c r="L19" s="518">
        <f t="shared" si="10"/>
        <v>1</v>
      </c>
      <c r="M19" s="518">
        <f t="shared" si="11"/>
        <v>1.0449718700793018</v>
      </c>
      <c r="N19" s="518">
        <f t="shared" si="12"/>
        <v>1</v>
      </c>
      <c r="O19" s="64"/>
      <c r="P19" s="503">
        <f t="shared" si="13"/>
        <v>1339692</v>
      </c>
      <c r="Q19" s="503">
        <f t="shared" si="14"/>
        <v>132406</v>
      </c>
      <c r="R19" s="503">
        <f t="shared" si="15"/>
        <v>3005742</v>
      </c>
      <c r="S19" s="503">
        <f t="shared" si="19"/>
        <v>4477840</v>
      </c>
      <c r="T19" s="514">
        <f t="shared" si="17"/>
        <v>0</v>
      </c>
      <c r="U19" s="64"/>
      <c r="V19" s="690">
        <f t="shared" si="18"/>
        <v>0</v>
      </c>
      <c r="W19" s="494"/>
      <c r="X19" s="494"/>
    </row>
    <row r="20" spans="1:24" ht="26.7" customHeight="1" x14ac:dyDescent="0.25">
      <c r="A20" s="508" t="s">
        <v>252</v>
      </c>
      <c r="B20" s="519" t="s">
        <v>253</v>
      </c>
      <c r="C20" s="132">
        <v>0</v>
      </c>
      <c r="D20" s="64">
        <v>434601</v>
      </c>
      <c r="E20" s="64">
        <v>6922638</v>
      </c>
      <c r="F20" s="64">
        <v>6922638</v>
      </c>
      <c r="G20" s="64"/>
      <c r="H20" s="64">
        <v>434601</v>
      </c>
      <c r="I20" s="64">
        <v>6922638</v>
      </c>
      <c r="J20" s="64">
        <v>6922638</v>
      </c>
      <c r="K20" s="64"/>
      <c r="L20" s="518">
        <f t="shared" si="10"/>
        <v>1</v>
      </c>
      <c r="M20" s="522">
        <f t="shared" si="11"/>
        <v>1</v>
      </c>
      <c r="N20" s="522">
        <f t="shared" si="12"/>
        <v>1</v>
      </c>
      <c r="O20" s="64"/>
      <c r="P20" s="503">
        <f t="shared" si="13"/>
        <v>434601</v>
      </c>
      <c r="Q20" s="503">
        <f t="shared" si="14"/>
        <v>6488037</v>
      </c>
      <c r="R20" s="503">
        <f t="shared" si="15"/>
        <v>0</v>
      </c>
      <c r="S20" s="503">
        <f t="shared" ref="S20:S24" si="20">SUM(P20:R20)</f>
        <v>6922638</v>
      </c>
      <c r="T20" s="514">
        <f t="shared" si="17"/>
        <v>0</v>
      </c>
      <c r="U20" s="64"/>
      <c r="V20" s="690">
        <f t="shared" si="18"/>
        <v>0</v>
      </c>
      <c r="W20" s="494"/>
      <c r="X20" s="494"/>
    </row>
    <row r="21" spans="1:24" x14ac:dyDescent="0.25">
      <c r="A21" s="515" t="s">
        <v>254</v>
      </c>
      <c r="B21" s="516" t="s">
        <v>255</v>
      </c>
      <c r="C21" s="517"/>
      <c r="D21" s="167">
        <v>511852</v>
      </c>
      <c r="E21" s="167">
        <v>511852</v>
      </c>
      <c r="F21" s="167">
        <v>511852</v>
      </c>
      <c r="G21" s="167"/>
      <c r="H21" s="167">
        <v>511852</v>
      </c>
      <c r="I21" s="167">
        <v>511852</v>
      </c>
      <c r="J21" s="167">
        <v>511852</v>
      </c>
      <c r="K21" s="167"/>
      <c r="L21" s="522">
        <f t="shared" si="10"/>
        <v>1</v>
      </c>
      <c r="M21" s="522">
        <f t="shared" si="11"/>
        <v>1</v>
      </c>
      <c r="N21" s="522">
        <f t="shared" si="12"/>
        <v>1</v>
      </c>
      <c r="O21" s="167"/>
      <c r="P21" s="503">
        <f t="shared" si="13"/>
        <v>511852</v>
      </c>
      <c r="Q21" s="503">
        <f t="shared" si="14"/>
        <v>0</v>
      </c>
      <c r="R21" s="503">
        <f t="shared" si="15"/>
        <v>0</v>
      </c>
      <c r="S21" s="503">
        <f t="shared" si="20"/>
        <v>511852</v>
      </c>
      <c r="T21" s="514">
        <f t="shared" si="17"/>
        <v>0</v>
      </c>
      <c r="U21" s="167"/>
      <c r="V21" s="690">
        <f t="shared" si="18"/>
        <v>0</v>
      </c>
      <c r="W21" s="494"/>
      <c r="X21" s="494"/>
    </row>
    <row r="22" spans="1:24" ht="39.6" x14ac:dyDescent="0.25">
      <c r="A22" s="515" t="s">
        <v>256</v>
      </c>
      <c r="B22" s="516" t="s">
        <v>257</v>
      </c>
      <c r="C22" s="517"/>
      <c r="D22" s="167"/>
      <c r="E22" s="167"/>
      <c r="F22" s="167"/>
      <c r="G22" s="167"/>
      <c r="H22" s="167"/>
      <c r="I22" s="167"/>
      <c r="J22" s="167"/>
      <c r="K22" s="167"/>
      <c r="L22" s="522">
        <f t="shared" si="10"/>
        <v>0</v>
      </c>
      <c r="M22" s="522">
        <f t="shared" si="11"/>
        <v>0</v>
      </c>
      <c r="N22" s="522">
        <f t="shared" si="12"/>
        <v>0</v>
      </c>
      <c r="O22" s="167"/>
      <c r="P22" s="503">
        <f t="shared" si="13"/>
        <v>0</v>
      </c>
      <c r="Q22" s="503">
        <f t="shared" si="14"/>
        <v>0</v>
      </c>
      <c r="R22" s="503">
        <f t="shared" si="15"/>
        <v>0</v>
      </c>
      <c r="S22" s="503">
        <f t="shared" si="20"/>
        <v>0</v>
      </c>
      <c r="T22" s="514">
        <f t="shared" si="17"/>
        <v>0</v>
      </c>
      <c r="U22" s="167"/>
      <c r="V22" s="690">
        <f t="shared" si="18"/>
        <v>0</v>
      </c>
      <c r="W22" s="494"/>
      <c r="X22" s="494"/>
    </row>
    <row r="23" spans="1:24" ht="39.6" x14ac:dyDescent="0.25">
      <c r="A23" s="515" t="s">
        <v>258</v>
      </c>
      <c r="B23" s="516" t="s">
        <v>259</v>
      </c>
      <c r="C23" s="517"/>
      <c r="D23" s="167"/>
      <c r="E23" s="167"/>
      <c r="F23" s="167"/>
      <c r="G23" s="167"/>
      <c r="H23" s="167"/>
      <c r="I23" s="167"/>
      <c r="J23" s="167"/>
      <c r="K23" s="167"/>
      <c r="L23" s="522">
        <f t="shared" si="10"/>
        <v>0</v>
      </c>
      <c r="M23" s="522">
        <f t="shared" si="11"/>
        <v>0</v>
      </c>
      <c r="N23" s="522">
        <f t="shared" si="12"/>
        <v>0</v>
      </c>
      <c r="O23" s="167"/>
      <c r="P23" s="503">
        <f t="shared" si="13"/>
        <v>0</v>
      </c>
      <c r="Q23" s="503">
        <f t="shared" si="14"/>
        <v>0</v>
      </c>
      <c r="R23" s="503">
        <f t="shared" si="15"/>
        <v>0</v>
      </c>
      <c r="S23" s="503">
        <f t="shared" si="20"/>
        <v>0</v>
      </c>
      <c r="T23" s="514">
        <f t="shared" si="17"/>
        <v>0</v>
      </c>
      <c r="U23" s="167"/>
      <c r="V23" s="690">
        <f t="shared" si="18"/>
        <v>0</v>
      </c>
      <c r="W23" s="494"/>
      <c r="X23" s="494"/>
    </row>
    <row r="24" spans="1:24" ht="39.6" x14ac:dyDescent="0.25">
      <c r="A24" s="515" t="s">
        <v>260</v>
      </c>
      <c r="B24" s="516" t="s">
        <v>261</v>
      </c>
      <c r="C24" s="517"/>
      <c r="D24" s="167"/>
      <c r="E24" s="167"/>
      <c r="F24" s="167"/>
      <c r="G24" s="167"/>
      <c r="H24" s="167"/>
      <c r="I24" s="167"/>
      <c r="J24" s="167"/>
      <c r="K24" s="167"/>
      <c r="L24" s="522">
        <f t="shared" si="10"/>
        <v>0</v>
      </c>
      <c r="M24" s="522">
        <f t="shared" si="11"/>
        <v>0</v>
      </c>
      <c r="N24" s="522">
        <f t="shared" si="12"/>
        <v>0</v>
      </c>
      <c r="O24" s="167"/>
      <c r="P24" s="503">
        <f t="shared" si="13"/>
        <v>0</v>
      </c>
      <c r="Q24" s="503">
        <f t="shared" si="14"/>
        <v>0</v>
      </c>
      <c r="R24" s="503">
        <f t="shared" si="15"/>
        <v>0</v>
      </c>
      <c r="S24" s="503">
        <f t="shared" si="20"/>
        <v>0</v>
      </c>
      <c r="T24" s="514">
        <f t="shared" si="17"/>
        <v>0</v>
      </c>
      <c r="U24" s="167"/>
      <c r="V24" s="690">
        <f t="shared" si="18"/>
        <v>0</v>
      </c>
      <c r="W24" s="494"/>
      <c r="X24" s="494"/>
    </row>
    <row r="25" spans="1:24" ht="39.6" x14ac:dyDescent="0.25">
      <c r="A25" s="515" t="s">
        <v>262</v>
      </c>
      <c r="B25" s="516" t="s">
        <v>387</v>
      </c>
      <c r="C25" s="167">
        <f>SUM(C26:C29)</f>
        <v>89770000</v>
      </c>
      <c r="D25" s="167">
        <v>68812436</v>
      </c>
      <c r="E25" s="167">
        <v>68812436</v>
      </c>
      <c r="F25" s="167">
        <v>72702669</v>
      </c>
      <c r="G25" s="167"/>
      <c r="H25" s="167">
        <v>33172441</v>
      </c>
      <c r="I25" s="167">
        <v>56855253</v>
      </c>
      <c r="J25" s="167">
        <v>72702669</v>
      </c>
      <c r="K25" s="167"/>
      <c r="L25" s="518">
        <f t="shared" si="10"/>
        <v>0.4820704356404415</v>
      </c>
      <c r="M25" s="518">
        <f t="shared" si="11"/>
        <v>0.82623514447301361</v>
      </c>
      <c r="N25" s="518">
        <f t="shared" si="12"/>
        <v>1</v>
      </c>
      <c r="O25" s="167"/>
      <c r="P25" s="167">
        <f t="shared" ref="P25:S25" si="21">+P26+P27+P28+P29</f>
        <v>-89770000</v>
      </c>
      <c r="Q25" s="167">
        <f t="shared" si="21"/>
        <v>0</v>
      </c>
      <c r="R25" s="167">
        <f t="shared" si="21"/>
        <v>0</v>
      </c>
      <c r="S25" s="167">
        <f t="shared" si="21"/>
        <v>-89770000</v>
      </c>
      <c r="T25" s="514">
        <f t="shared" si="17"/>
        <v>-1</v>
      </c>
      <c r="U25" s="167"/>
      <c r="V25" s="690">
        <f t="shared" si="18"/>
        <v>-72702669</v>
      </c>
      <c r="W25" s="494"/>
      <c r="X25" s="494"/>
    </row>
    <row r="26" spans="1:24" ht="36.6" x14ac:dyDescent="0.25">
      <c r="A26" s="523" t="s">
        <v>395</v>
      </c>
      <c r="B26" s="509" t="s">
        <v>1393</v>
      </c>
      <c r="C26" s="517">
        <v>20200000</v>
      </c>
      <c r="D26" s="521"/>
      <c r="E26" s="521"/>
      <c r="F26" s="521"/>
      <c r="G26" s="521"/>
      <c r="H26" s="521"/>
      <c r="I26" s="521"/>
      <c r="J26" s="521">
        <v>19159500</v>
      </c>
      <c r="K26" s="521"/>
      <c r="L26" s="518">
        <f t="shared" si="10"/>
        <v>0</v>
      </c>
      <c r="M26" s="518">
        <f t="shared" si="11"/>
        <v>0</v>
      </c>
      <c r="N26" s="518">
        <f t="shared" si="12"/>
        <v>0</v>
      </c>
      <c r="O26" s="521"/>
      <c r="P26" s="503">
        <f t="shared" ref="P26:R29" si="22">+(D26-C26)*P$8</f>
        <v>-20200000</v>
      </c>
      <c r="Q26" s="503">
        <f t="shared" si="22"/>
        <v>0</v>
      </c>
      <c r="R26" s="503">
        <f t="shared" si="22"/>
        <v>0</v>
      </c>
      <c r="S26" s="503">
        <f t="shared" ref="S26:S29" si="23">SUM(P26:R26)</f>
        <v>-20200000</v>
      </c>
      <c r="T26" s="514">
        <f t="shared" si="17"/>
        <v>-1</v>
      </c>
      <c r="U26" s="521"/>
      <c r="V26" s="690">
        <f t="shared" si="18"/>
        <v>0</v>
      </c>
      <c r="W26" s="494"/>
      <c r="X26" s="494"/>
    </row>
    <row r="27" spans="1:24" ht="23.4" x14ac:dyDescent="0.25">
      <c r="A27" s="523" t="s">
        <v>398</v>
      </c>
      <c r="B27" s="509" t="s">
        <v>1391</v>
      </c>
      <c r="C27" s="517">
        <f>540000*4</f>
        <v>2160000</v>
      </c>
      <c r="D27" s="521"/>
      <c r="E27" s="521"/>
      <c r="F27" s="521"/>
      <c r="G27" s="521"/>
      <c r="H27" s="521"/>
      <c r="I27" s="521"/>
      <c r="J27" s="521">
        <v>2520385</v>
      </c>
      <c r="K27" s="521"/>
      <c r="L27" s="518">
        <f t="shared" si="10"/>
        <v>0</v>
      </c>
      <c r="M27" s="518">
        <f t="shared" si="11"/>
        <v>0</v>
      </c>
      <c r="N27" s="518">
        <f t="shared" si="12"/>
        <v>0</v>
      </c>
      <c r="O27" s="521"/>
      <c r="P27" s="503">
        <f t="shared" si="22"/>
        <v>-2160000</v>
      </c>
      <c r="Q27" s="503">
        <f t="shared" si="22"/>
        <v>0</v>
      </c>
      <c r="R27" s="503">
        <f t="shared" si="22"/>
        <v>0</v>
      </c>
      <c r="S27" s="503">
        <f t="shared" si="23"/>
        <v>-2160000</v>
      </c>
      <c r="T27" s="514">
        <f t="shared" si="17"/>
        <v>-1</v>
      </c>
      <c r="U27" s="521"/>
      <c r="V27" s="690">
        <f t="shared" si="18"/>
        <v>0</v>
      </c>
      <c r="W27" s="494"/>
      <c r="X27" s="494"/>
    </row>
    <row r="28" spans="1:24" ht="23.4" x14ac:dyDescent="0.25">
      <c r="A28" s="523" t="s">
        <v>399</v>
      </c>
      <c r="B28" s="509" t="s">
        <v>1398</v>
      </c>
      <c r="C28" s="517">
        <v>0</v>
      </c>
      <c r="D28" s="521"/>
      <c r="E28" s="521"/>
      <c r="F28" s="521"/>
      <c r="G28" s="521"/>
      <c r="H28" s="521"/>
      <c r="I28" s="521"/>
      <c r="J28" s="521">
        <v>3066780</v>
      </c>
      <c r="K28" s="521"/>
      <c r="L28" s="518">
        <f t="shared" si="10"/>
        <v>0</v>
      </c>
      <c r="M28" s="518">
        <f t="shared" si="11"/>
        <v>0</v>
      </c>
      <c r="N28" s="518">
        <f t="shared" si="12"/>
        <v>0</v>
      </c>
      <c r="O28" s="521"/>
      <c r="P28" s="503">
        <f t="shared" si="22"/>
        <v>0</v>
      </c>
      <c r="Q28" s="503">
        <f t="shared" si="22"/>
        <v>0</v>
      </c>
      <c r="R28" s="503">
        <f t="shared" si="22"/>
        <v>0</v>
      </c>
      <c r="S28" s="503">
        <f t="shared" si="23"/>
        <v>0</v>
      </c>
      <c r="T28" s="514">
        <f t="shared" si="17"/>
        <v>0</v>
      </c>
      <c r="U28" s="521"/>
      <c r="V28" s="690">
        <f t="shared" si="18"/>
        <v>0</v>
      </c>
      <c r="W28" s="494"/>
      <c r="X28" s="494"/>
    </row>
    <row r="29" spans="1:24" ht="23.4" x14ac:dyDescent="0.25">
      <c r="A29" s="523" t="s">
        <v>400</v>
      </c>
      <c r="B29" s="509" t="s">
        <v>1392</v>
      </c>
      <c r="C29" s="517">
        <v>67410000</v>
      </c>
      <c r="D29" s="521"/>
      <c r="E29" s="521"/>
      <c r="F29" s="521"/>
      <c r="G29" s="521"/>
      <c r="H29" s="521"/>
      <c r="I29" s="521"/>
      <c r="J29" s="521">
        <v>47956004</v>
      </c>
      <c r="K29" s="521"/>
      <c r="L29" s="518">
        <f t="shared" si="10"/>
        <v>0</v>
      </c>
      <c r="M29" s="518">
        <f t="shared" si="11"/>
        <v>0</v>
      </c>
      <c r="N29" s="518">
        <f t="shared" si="12"/>
        <v>0</v>
      </c>
      <c r="O29" s="521"/>
      <c r="P29" s="503">
        <f t="shared" si="22"/>
        <v>-67410000</v>
      </c>
      <c r="Q29" s="503">
        <f t="shared" si="22"/>
        <v>0</v>
      </c>
      <c r="R29" s="503">
        <f t="shared" si="22"/>
        <v>0</v>
      </c>
      <c r="S29" s="503">
        <f t="shared" si="23"/>
        <v>-67410000</v>
      </c>
      <c r="T29" s="514">
        <f t="shared" si="17"/>
        <v>-1</v>
      </c>
      <c r="U29" s="521"/>
      <c r="V29" s="690">
        <f t="shared" si="18"/>
        <v>0</v>
      </c>
      <c r="W29" s="494"/>
      <c r="X29" s="494"/>
    </row>
    <row r="30" spans="1:24" ht="34.5" customHeight="1" x14ac:dyDescent="0.25">
      <c r="A30" s="512" t="s">
        <v>263</v>
      </c>
      <c r="B30" s="513" t="s">
        <v>264</v>
      </c>
      <c r="C30" s="130">
        <f>SUM(C31:C35)</f>
        <v>262000000</v>
      </c>
      <c r="D30" s="130">
        <f>SUM(D31:D35)</f>
        <v>265315728</v>
      </c>
      <c r="E30" s="130">
        <f>SUM(E31:E35)</f>
        <v>265315728</v>
      </c>
      <c r="F30" s="130">
        <f>SUM(F31:F35)</f>
        <v>220578157</v>
      </c>
      <c r="G30" s="130"/>
      <c r="H30" s="130">
        <f>SUM(H31:H35)</f>
        <v>215315728</v>
      </c>
      <c r="I30" s="130">
        <f>SUM(I31:I35)</f>
        <v>218778157</v>
      </c>
      <c r="J30" s="130">
        <f>SUM(J31:J35)</f>
        <v>220578157</v>
      </c>
      <c r="K30" s="130"/>
      <c r="L30" s="514">
        <f t="shared" si="10"/>
        <v>0.81154528464290665</v>
      </c>
      <c r="M30" s="514">
        <f t="shared" si="11"/>
        <v>0.82459550607568954</v>
      </c>
      <c r="N30" s="514">
        <f t="shared" si="12"/>
        <v>1</v>
      </c>
      <c r="O30" s="130"/>
      <c r="P30" s="130">
        <f t="shared" ref="P30:S30" si="24">SUM(P31:P35)</f>
        <v>3315728</v>
      </c>
      <c r="Q30" s="130">
        <f t="shared" si="24"/>
        <v>0</v>
      </c>
      <c r="R30" s="130">
        <f t="shared" si="24"/>
        <v>-44737571</v>
      </c>
      <c r="S30" s="130">
        <f t="shared" si="24"/>
        <v>-41421843</v>
      </c>
      <c r="T30" s="514">
        <f t="shared" si="17"/>
        <v>-0.15809863740458016</v>
      </c>
      <c r="U30" s="130"/>
      <c r="V30" s="690">
        <f t="shared" si="18"/>
        <v>0</v>
      </c>
      <c r="W30" s="494"/>
      <c r="X30" s="494"/>
    </row>
    <row r="31" spans="1:24" s="26" customFormat="1" ht="39.6" x14ac:dyDescent="0.25">
      <c r="A31" s="515" t="s">
        <v>265</v>
      </c>
      <c r="B31" s="516" t="s">
        <v>1394</v>
      </c>
      <c r="C31" s="517">
        <v>200000000</v>
      </c>
      <c r="D31" s="167">
        <v>200000000</v>
      </c>
      <c r="E31" s="167">
        <v>2520000</v>
      </c>
      <c r="F31" s="167">
        <v>4320000</v>
      </c>
      <c r="G31" s="167"/>
      <c r="H31" s="167">
        <v>150000000</v>
      </c>
      <c r="I31" s="167">
        <v>2520000</v>
      </c>
      <c r="J31" s="167">
        <v>4320000</v>
      </c>
      <c r="K31" s="167"/>
      <c r="L31" s="522">
        <f t="shared" si="10"/>
        <v>0.75</v>
      </c>
      <c r="M31" s="522">
        <f t="shared" si="11"/>
        <v>1</v>
      </c>
      <c r="N31" s="522">
        <f t="shared" si="12"/>
        <v>1</v>
      </c>
      <c r="O31" s="167"/>
      <c r="P31" s="167">
        <f t="shared" ref="P31:R38" si="25">+(D31-C31)*P$8</f>
        <v>0</v>
      </c>
      <c r="Q31" s="167">
        <f t="shared" si="25"/>
        <v>-197480000</v>
      </c>
      <c r="R31" s="167">
        <f t="shared" si="25"/>
        <v>1800000</v>
      </c>
      <c r="S31" s="167">
        <f t="shared" ref="S31" si="26">SUM(P31:R31)</f>
        <v>-195680000</v>
      </c>
      <c r="T31" s="514">
        <f t="shared" si="17"/>
        <v>-0.97840000000000005</v>
      </c>
      <c r="U31" s="167"/>
      <c r="V31" s="690">
        <f t="shared" si="18"/>
        <v>0</v>
      </c>
      <c r="W31" s="524"/>
      <c r="X31" s="524"/>
    </row>
    <row r="32" spans="1:24" s="26" customFormat="1" ht="51" customHeight="1" x14ac:dyDescent="0.25">
      <c r="A32" s="515" t="s">
        <v>266</v>
      </c>
      <c r="B32" s="525" t="s">
        <v>476</v>
      </c>
      <c r="C32" s="517"/>
      <c r="D32" s="167"/>
      <c r="E32" s="517"/>
      <c r="F32" s="517"/>
      <c r="G32" s="517"/>
      <c r="H32" s="517"/>
      <c r="I32" s="517"/>
      <c r="J32" s="517"/>
      <c r="K32" s="517"/>
      <c r="L32" s="526">
        <f t="shared" si="10"/>
        <v>0</v>
      </c>
      <c r="M32" s="526">
        <f t="shared" si="11"/>
        <v>0</v>
      </c>
      <c r="N32" s="526">
        <f t="shared" si="12"/>
        <v>0</v>
      </c>
      <c r="O32" s="517"/>
      <c r="P32" s="503">
        <f t="shared" si="25"/>
        <v>0</v>
      </c>
      <c r="Q32" s="503">
        <f t="shared" si="25"/>
        <v>0</v>
      </c>
      <c r="R32" s="503">
        <f t="shared" si="25"/>
        <v>0</v>
      </c>
      <c r="S32" s="503">
        <f t="shared" ref="S32:S35" si="27">SUM(P32:R32)</f>
        <v>0</v>
      </c>
      <c r="T32" s="514">
        <f t="shared" si="17"/>
        <v>0</v>
      </c>
      <c r="U32" s="517"/>
      <c r="V32" s="690">
        <f t="shared" si="18"/>
        <v>0</v>
      </c>
      <c r="W32" s="524"/>
      <c r="X32" s="524"/>
    </row>
    <row r="33" spans="1:24" s="26" customFormat="1" ht="39.6" x14ac:dyDescent="0.25">
      <c r="A33" s="515" t="s">
        <v>267</v>
      </c>
      <c r="B33" s="525" t="s">
        <v>268</v>
      </c>
      <c r="C33" s="517">
        <v>62000000</v>
      </c>
      <c r="D33" s="167"/>
      <c r="E33" s="517"/>
      <c r="F33" s="517"/>
      <c r="G33" s="517"/>
      <c r="H33" s="517"/>
      <c r="I33" s="517"/>
      <c r="J33" s="517"/>
      <c r="K33" s="517"/>
      <c r="L33" s="526">
        <f t="shared" si="10"/>
        <v>0</v>
      </c>
      <c r="M33" s="526">
        <f t="shared" si="11"/>
        <v>0</v>
      </c>
      <c r="N33" s="526">
        <f t="shared" si="12"/>
        <v>0</v>
      </c>
      <c r="O33" s="517"/>
      <c r="P33" s="503">
        <f t="shared" si="25"/>
        <v>-62000000</v>
      </c>
      <c r="Q33" s="503">
        <f t="shared" si="25"/>
        <v>0</v>
      </c>
      <c r="R33" s="503">
        <f t="shared" si="25"/>
        <v>0</v>
      </c>
      <c r="S33" s="503">
        <f t="shared" si="27"/>
        <v>-62000000</v>
      </c>
      <c r="T33" s="514">
        <f t="shared" si="17"/>
        <v>-1</v>
      </c>
      <c r="U33" s="517"/>
      <c r="V33" s="690">
        <f t="shared" si="18"/>
        <v>0</v>
      </c>
      <c r="W33" s="524"/>
      <c r="X33" s="524"/>
    </row>
    <row r="34" spans="1:24" s="26" customFormat="1" ht="40.35" customHeight="1" x14ac:dyDescent="0.25">
      <c r="A34" s="515" t="s">
        <v>269</v>
      </c>
      <c r="B34" s="516" t="s">
        <v>421</v>
      </c>
      <c r="C34" s="517"/>
      <c r="D34" s="167"/>
      <c r="E34" s="517"/>
      <c r="F34" s="517"/>
      <c r="G34" s="517"/>
      <c r="H34" s="517"/>
      <c r="I34" s="517"/>
      <c r="J34" s="517"/>
      <c r="K34" s="517"/>
      <c r="L34" s="526">
        <f t="shared" si="10"/>
        <v>0</v>
      </c>
      <c r="M34" s="526">
        <f t="shared" si="11"/>
        <v>0</v>
      </c>
      <c r="N34" s="526">
        <f t="shared" si="12"/>
        <v>0</v>
      </c>
      <c r="O34" s="517"/>
      <c r="P34" s="503">
        <f t="shared" si="25"/>
        <v>0</v>
      </c>
      <c r="Q34" s="503">
        <f t="shared" si="25"/>
        <v>0</v>
      </c>
      <c r="R34" s="503">
        <f t="shared" si="25"/>
        <v>0</v>
      </c>
      <c r="S34" s="503">
        <f t="shared" si="27"/>
        <v>0</v>
      </c>
      <c r="T34" s="514">
        <f t="shared" si="17"/>
        <v>0</v>
      </c>
      <c r="U34" s="517"/>
      <c r="V34" s="690">
        <f t="shared" si="18"/>
        <v>0</v>
      </c>
      <c r="W34" s="524"/>
      <c r="X34" s="524"/>
    </row>
    <row r="35" spans="1:24" s="26" customFormat="1" ht="26.4" x14ac:dyDescent="0.25">
      <c r="A35" s="515" t="s">
        <v>270</v>
      </c>
      <c r="B35" s="516" t="s">
        <v>516</v>
      </c>
      <c r="C35" s="517">
        <v>0</v>
      </c>
      <c r="D35" s="167">
        <v>65315728</v>
      </c>
      <c r="E35" s="167">
        <v>262795728</v>
      </c>
      <c r="F35" s="167">
        <v>216258157</v>
      </c>
      <c r="G35" s="167"/>
      <c r="H35" s="167">
        <v>65315728</v>
      </c>
      <c r="I35" s="167">
        <v>216258157</v>
      </c>
      <c r="J35" s="167">
        <f>SUM(J36:J38)</f>
        <v>216258157</v>
      </c>
      <c r="K35" s="167"/>
      <c r="L35" s="522">
        <f t="shared" si="10"/>
        <v>1</v>
      </c>
      <c r="M35" s="522">
        <f t="shared" si="11"/>
        <v>0.82291351783313615</v>
      </c>
      <c r="N35" s="522">
        <f t="shared" si="12"/>
        <v>1</v>
      </c>
      <c r="O35" s="167"/>
      <c r="P35" s="167">
        <f t="shared" si="25"/>
        <v>65315728</v>
      </c>
      <c r="Q35" s="167">
        <f t="shared" si="25"/>
        <v>197480000</v>
      </c>
      <c r="R35" s="167">
        <f>+(F35-E35)*R$8</f>
        <v>-46537571</v>
      </c>
      <c r="S35" s="167">
        <f t="shared" si="27"/>
        <v>216258157</v>
      </c>
      <c r="T35" s="514">
        <f t="shared" si="17"/>
        <v>0</v>
      </c>
      <c r="U35" s="167"/>
      <c r="V35" s="690">
        <f t="shared" si="18"/>
        <v>0</v>
      </c>
      <c r="W35" s="524"/>
      <c r="X35" s="524"/>
    </row>
    <row r="36" spans="1:24" x14ac:dyDescent="0.25">
      <c r="A36" s="527"/>
      <c r="B36" s="528" t="s">
        <v>1395</v>
      </c>
      <c r="C36" s="132"/>
      <c r="D36" s="64"/>
      <c r="E36" s="64"/>
      <c r="F36" s="64"/>
      <c r="G36" s="64"/>
      <c r="H36" s="64"/>
      <c r="I36" s="64">
        <v>0</v>
      </c>
      <c r="J36" s="64">
        <v>150000000</v>
      </c>
      <c r="K36" s="64"/>
      <c r="L36" s="518">
        <f t="shared" si="10"/>
        <v>0</v>
      </c>
      <c r="M36" s="518">
        <f t="shared" si="11"/>
        <v>0</v>
      </c>
      <c r="N36" s="518">
        <f t="shared" si="12"/>
        <v>0</v>
      </c>
      <c r="O36" s="64"/>
      <c r="P36" s="503">
        <f t="shared" si="25"/>
        <v>0</v>
      </c>
      <c r="Q36" s="503">
        <f t="shared" si="25"/>
        <v>0</v>
      </c>
      <c r="R36" s="503">
        <f t="shared" si="25"/>
        <v>0</v>
      </c>
      <c r="S36" s="503">
        <f t="shared" ref="S36:S38" si="28">SUM(P36:R36)</f>
        <v>0</v>
      </c>
      <c r="T36" s="514">
        <f t="shared" si="17"/>
        <v>0</v>
      </c>
      <c r="U36" s="64"/>
      <c r="V36" s="690">
        <f t="shared" si="18"/>
        <v>0</v>
      </c>
      <c r="W36" s="494"/>
      <c r="X36" s="494"/>
    </row>
    <row r="37" spans="1:24" ht="26.4" x14ac:dyDescent="0.25">
      <c r="A37" s="527"/>
      <c r="B37" s="509" t="s">
        <v>1396</v>
      </c>
      <c r="C37" s="132"/>
      <c r="D37" s="64"/>
      <c r="E37" s="64"/>
      <c r="F37" s="64"/>
      <c r="G37" s="64"/>
      <c r="H37" s="64"/>
      <c r="I37" s="64"/>
      <c r="J37" s="64">
        <v>62091946</v>
      </c>
      <c r="K37" s="64"/>
      <c r="L37" s="518">
        <f t="shared" si="10"/>
        <v>0</v>
      </c>
      <c r="M37" s="518">
        <f t="shared" si="11"/>
        <v>0</v>
      </c>
      <c r="N37" s="518">
        <f t="shared" si="12"/>
        <v>0</v>
      </c>
      <c r="O37" s="64"/>
      <c r="P37" s="503">
        <f t="shared" si="25"/>
        <v>0</v>
      </c>
      <c r="Q37" s="503">
        <f t="shared" si="25"/>
        <v>0</v>
      </c>
      <c r="R37" s="503">
        <f>+(F37-E37)*R$8</f>
        <v>0</v>
      </c>
      <c r="S37" s="503">
        <f t="shared" si="28"/>
        <v>0</v>
      </c>
      <c r="T37" s="514">
        <f t="shared" si="17"/>
        <v>0</v>
      </c>
      <c r="U37" s="64"/>
      <c r="V37" s="690">
        <f t="shared" si="18"/>
        <v>0</v>
      </c>
      <c r="W37" s="494"/>
      <c r="X37" s="494"/>
    </row>
    <row r="38" spans="1:24" ht="26.4" x14ac:dyDescent="0.25">
      <c r="A38" s="527"/>
      <c r="B38" s="529" t="s">
        <v>1397</v>
      </c>
      <c r="C38" s="132"/>
      <c r="D38" s="64"/>
      <c r="E38" s="64"/>
      <c r="F38" s="64"/>
      <c r="G38" s="64"/>
      <c r="H38" s="64"/>
      <c r="I38" s="64"/>
      <c r="J38" s="64">
        <v>4166211</v>
      </c>
      <c r="K38" s="64"/>
      <c r="L38" s="518">
        <f t="shared" si="10"/>
        <v>0</v>
      </c>
      <c r="M38" s="518">
        <f t="shared" si="11"/>
        <v>0</v>
      </c>
      <c r="N38" s="518">
        <f t="shared" si="12"/>
        <v>0</v>
      </c>
      <c r="O38" s="64"/>
      <c r="P38" s="503">
        <f t="shared" si="25"/>
        <v>0</v>
      </c>
      <c r="Q38" s="503">
        <f t="shared" si="25"/>
        <v>0</v>
      </c>
      <c r="R38" s="503">
        <f t="shared" si="25"/>
        <v>0</v>
      </c>
      <c r="S38" s="503">
        <f t="shared" si="28"/>
        <v>0</v>
      </c>
      <c r="T38" s="514">
        <f t="shared" si="17"/>
        <v>0</v>
      </c>
      <c r="U38" s="64"/>
      <c r="V38" s="690">
        <f t="shared" si="18"/>
        <v>0</v>
      </c>
      <c r="W38" s="494"/>
      <c r="X38" s="494"/>
    </row>
    <row r="39" spans="1:24" x14ac:dyDescent="0.25">
      <c r="A39" s="512" t="s">
        <v>271</v>
      </c>
      <c r="B39" s="513" t="s">
        <v>272</v>
      </c>
      <c r="C39" s="130">
        <f>+C40+C42+C47</f>
        <v>205000000</v>
      </c>
      <c r="D39" s="130">
        <f>+D40+D42+D47</f>
        <v>206000000</v>
      </c>
      <c r="E39" s="130">
        <f>+E40+E42+E47</f>
        <v>206000000</v>
      </c>
      <c r="F39" s="130">
        <f>+F40+F42+F47</f>
        <v>259000000</v>
      </c>
      <c r="G39" s="130"/>
      <c r="H39" s="130">
        <f>+H40+H42+H47</f>
        <v>125571595</v>
      </c>
      <c r="I39" s="130">
        <f>+I40+I42+I47</f>
        <v>198060016</v>
      </c>
      <c r="J39" s="130">
        <f>+J40+J42+J47</f>
        <v>245141050</v>
      </c>
      <c r="K39" s="130"/>
      <c r="L39" s="514">
        <f t="shared" si="10"/>
        <v>0.60957084951456308</v>
      </c>
      <c r="M39" s="514">
        <f t="shared" si="11"/>
        <v>0.96145638834951452</v>
      </c>
      <c r="N39" s="514">
        <f t="shared" si="12"/>
        <v>0.94649054054054049</v>
      </c>
      <c r="O39" s="130"/>
      <c r="P39" s="130">
        <f t="shared" ref="P39:S39" si="29">+P40+P42+P47</f>
        <v>1000000</v>
      </c>
      <c r="Q39" s="130">
        <f t="shared" si="29"/>
        <v>0</v>
      </c>
      <c r="R39" s="130">
        <f t="shared" si="29"/>
        <v>53000000</v>
      </c>
      <c r="S39" s="130">
        <f t="shared" si="29"/>
        <v>54000000</v>
      </c>
      <c r="T39" s="514">
        <f t="shared" si="17"/>
        <v>0.26341463414634148</v>
      </c>
      <c r="U39" s="130"/>
      <c r="V39" s="690">
        <f t="shared" si="18"/>
        <v>0</v>
      </c>
      <c r="W39" s="494"/>
      <c r="X39" s="494"/>
    </row>
    <row r="40" spans="1:24" x14ac:dyDescent="0.25">
      <c r="A40" s="515" t="s">
        <v>273</v>
      </c>
      <c r="B40" s="516" t="s">
        <v>274</v>
      </c>
      <c r="C40" s="517">
        <f>SUM(C41)</f>
        <v>18000000</v>
      </c>
      <c r="D40" s="517">
        <f t="shared" ref="D40:F40" si="30">SUM(D41)</f>
        <v>18000000</v>
      </c>
      <c r="E40" s="517">
        <f t="shared" si="30"/>
        <v>18000000</v>
      </c>
      <c r="F40" s="517">
        <f t="shared" si="30"/>
        <v>21000000</v>
      </c>
      <c r="G40" s="167"/>
      <c r="H40" s="517">
        <f t="shared" ref="H40" si="31">SUM(H41)</f>
        <v>12516504</v>
      </c>
      <c r="I40" s="517">
        <f t="shared" ref="I40" si="32">SUM(I41)</f>
        <v>16631875</v>
      </c>
      <c r="J40" s="517">
        <f t="shared" ref="J40" si="33">SUM(J41)</f>
        <v>18133574</v>
      </c>
      <c r="K40" s="167"/>
      <c r="L40" s="518">
        <f t="shared" si="10"/>
        <v>0.69536133333333339</v>
      </c>
      <c r="M40" s="518">
        <f t="shared" si="11"/>
        <v>0.92399305555555555</v>
      </c>
      <c r="N40" s="518">
        <f t="shared" si="12"/>
        <v>0.86350352380952378</v>
      </c>
      <c r="O40" s="167"/>
      <c r="P40" s="167">
        <f t="shared" ref="P40:S40" si="34">SUM(P41)</f>
        <v>0</v>
      </c>
      <c r="Q40" s="167">
        <f t="shared" si="34"/>
        <v>0</v>
      </c>
      <c r="R40" s="167">
        <f t="shared" si="34"/>
        <v>3000000</v>
      </c>
      <c r="S40" s="167">
        <f t="shared" si="34"/>
        <v>3000000</v>
      </c>
      <c r="T40" s="514">
        <f t="shared" si="17"/>
        <v>0.16666666666666666</v>
      </c>
      <c r="U40" s="167"/>
      <c r="V40" s="690">
        <f t="shared" si="18"/>
        <v>0</v>
      </c>
      <c r="W40" s="494"/>
      <c r="X40" s="494"/>
    </row>
    <row r="41" spans="1:24" x14ac:dyDescent="0.25">
      <c r="A41" s="515"/>
      <c r="B41" s="509" t="s">
        <v>275</v>
      </c>
      <c r="C41" s="520">
        <v>18000000</v>
      </c>
      <c r="D41" s="166">
        <v>18000000</v>
      </c>
      <c r="E41" s="166">
        <v>18000000</v>
      </c>
      <c r="F41" s="166">
        <v>21000000</v>
      </c>
      <c r="G41" s="166"/>
      <c r="H41" s="166">
        <v>12516504</v>
      </c>
      <c r="I41" s="166">
        <v>16631875</v>
      </c>
      <c r="J41" s="166">
        <v>18133574</v>
      </c>
      <c r="K41" s="166"/>
      <c r="L41" s="522">
        <f t="shared" si="10"/>
        <v>0.69536133333333339</v>
      </c>
      <c r="M41" s="522">
        <f t="shared" si="11"/>
        <v>0.92399305555555555</v>
      </c>
      <c r="N41" s="522">
        <f t="shared" si="12"/>
        <v>0.86350352380952378</v>
      </c>
      <c r="O41" s="166"/>
      <c r="P41" s="503">
        <f>+(D41-C41)*P$8</f>
        <v>0</v>
      </c>
      <c r="Q41" s="503">
        <f>+(E41-D41)*Q$8</f>
        <v>0</v>
      </c>
      <c r="R41" s="503">
        <f>+(F41-E41)*R$8</f>
        <v>3000000</v>
      </c>
      <c r="S41" s="503">
        <f t="shared" ref="S41" si="35">SUM(P41:R41)</f>
        <v>3000000</v>
      </c>
      <c r="T41" s="514">
        <f t="shared" si="17"/>
        <v>0.16666666666666666</v>
      </c>
      <c r="U41" s="166"/>
      <c r="V41" s="690">
        <f t="shared" si="18"/>
        <v>0</v>
      </c>
      <c r="W41" s="494"/>
      <c r="X41" s="494"/>
    </row>
    <row r="42" spans="1:24" x14ac:dyDescent="0.25">
      <c r="A42" s="515" t="s">
        <v>276</v>
      </c>
      <c r="B42" s="516" t="s">
        <v>277</v>
      </c>
      <c r="C42" s="167">
        <f t="shared" ref="C42" si="36">SUM(C43+C46)</f>
        <v>183000000</v>
      </c>
      <c r="D42" s="167">
        <f>SUM(D43+D46)</f>
        <v>183000000</v>
      </c>
      <c r="E42" s="167">
        <f>SUM(E43+E46)</f>
        <v>183000000</v>
      </c>
      <c r="F42" s="167">
        <f>SUM(F43+F46)</f>
        <v>231000000</v>
      </c>
      <c r="G42" s="167"/>
      <c r="H42" s="167">
        <f>SUM(H43+H46)</f>
        <v>102503127</v>
      </c>
      <c r="I42" s="167">
        <f>SUM(I43+I46)</f>
        <v>172745889</v>
      </c>
      <c r="J42" s="167">
        <f>SUM(J43+J46)</f>
        <v>220257861</v>
      </c>
      <c r="K42" s="167"/>
      <c r="L42" s="518">
        <f t="shared" si="10"/>
        <v>0.56012637704918034</v>
      </c>
      <c r="M42" s="518">
        <f t="shared" si="11"/>
        <v>0.94396660655737707</v>
      </c>
      <c r="N42" s="518">
        <f t="shared" si="12"/>
        <v>0.95349723376623374</v>
      </c>
      <c r="O42" s="167"/>
      <c r="P42" s="167">
        <f t="shared" ref="P42:S42" si="37">SUM(P43+P46)</f>
        <v>0</v>
      </c>
      <c r="Q42" s="167">
        <f t="shared" si="37"/>
        <v>0</v>
      </c>
      <c r="R42" s="167">
        <f t="shared" si="37"/>
        <v>48000000</v>
      </c>
      <c r="S42" s="167">
        <f t="shared" si="37"/>
        <v>48000000</v>
      </c>
      <c r="T42" s="514">
        <f t="shared" si="17"/>
        <v>0.26229508196721313</v>
      </c>
      <c r="U42" s="167"/>
      <c r="V42" s="690">
        <f t="shared" si="18"/>
        <v>0</v>
      </c>
      <c r="W42" s="494"/>
      <c r="X42" s="494"/>
    </row>
    <row r="43" spans="1:24" x14ac:dyDescent="0.25">
      <c r="A43" s="527" t="s">
        <v>278</v>
      </c>
      <c r="B43" s="530" t="s">
        <v>279</v>
      </c>
      <c r="C43" s="132">
        <f t="shared" ref="C43:F43" si="38">SUM(C44:C45)</f>
        <v>155000000</v>
      </c>
      <c r="D43" s="132">
        <f t="shared" si="38"/>
        <v>155000000</v>
      </c>
      <c r="E43" s="132">
        <f t="shared" si="38"/>
        <v>155000000</v>
      </c>
      <c r="F43" s="132">
        <f t="shared" si="38"/>
        <v>203000000</v>
      </c>
      <c r="G43" s="132"/>
      <c r="H43" s="132">
        <f t="shared" ref="H43:I43" si="39">SUM(H44:H45)</f>
        <v>88167669</v>
      </c>
      <c r="I43" s="132">
        <f t="shared" si="39"/>
        <v>139239500</v>
      </c>
      <c r="J43" s="132">
        <f>SUM(J44:J45)</f>
        <v>194019896</v>
      </c>
      <c r="K43" s="132"/>
      <c r="L43" s="518">
        <f t="shared" si="10"/>
        <v>0.56882367096774189</v>
      </c>
      <c r="M43" s="518">
        <f t="shared" si="11"/>
        <v>0.89831935483870973</v>
      </c>
      <c r="N43" s="518">
        <f t="shared" si="12"/>
        <v>0.95576303448275857</v>
      </c>
      <c r="O43" s="132"/>
      <c r="P43" s="503">
        <f t="shared" ref="P43:R46" si="40">+(D43-C43)*P$8</f>
        <v>0</v>
      </c>
      <c r="Q43" s="503">
        <f t="shared" si="40"/>
        <v>0</v>
      </c>
      <c r="R43" s="503">
        <f t="shared" si="40"/>
        <v>48000000</v>
      </c>
      <c r="S43" s="503">
        <f t="shared" ref="S43:S44" si="41">SUM(P43:R43)</f>
        <v>48000000</v>
      </c>
      <c r="T43" s="514">
        <f t="shared" si="17"/>
        <v>0.30967741935483872</v>
      </c>
      <c r="U43" s="132"/>
      <c r="V43" s="690">
        <f t="shared" si="18"/>
        <v>0</v>
      </c>
      <c r="W43" s="494"/>
      <c r="X43" s="494"/>
    </row>
    <row r="44" spans="1:24" x14ac:dyDescent="0.25">
      <c r="A44" s="527"/>
      <c r="B44" s="519" t="s">
        <v>280</v>
      </c>
      <c r="C44" s="132">
        <v>0</v>
      </c>
      <c r="D44" s="64"/>
      <c r="E44" s="64"/>
      <c r="F44" s="64"/>
      <c r="G44" s="64"/>
      <c r="H44" s="64"/>
      <c r="I44" s="64"/>
      <c r="J44" s="64"/>
      <c r="K44" s="64"/>
      <c r="L44" s="518">
        <f t="shared" si="10"/>
        <v>0</v>
      </c>
      <c r="M44" s="518">
        <f t="shared" si="11"/>
        <v>0</v>
      </c>
      <c r="N44" s="518">
        <f t="shared" si="12"/>
        <v>0</v>
      </c>
      <c r="O44" s="64"/>
      <c r="P44" s="503">
        <f t="shared" si="40"/>
        <v>0</v>
      </c>
      <c r="Q44" s="503">
        <f t="shared" si="40"/>
        <v>0</v>
      </c>
      <c r="R44" s="503">
        <f t="shared" si="40"/>
        <v>0</v>
      </c>
      <c r="S44" s="503">
        <f t="shared" si="41"/>
        <v>0</v>
      </c>
      <c r="T44" s="514">
        <f t="shared" si="17"/>
        <v>0</v>
      </c>
      <c r="U44" s="64"/>
      <c r="V44" s="690">
        <f t="shared" si="18"/>
        <v>0</v>
      </c>
      <c r="W44" s="494"/>
      <c r="X44" s="494"/>
    </row>
    <row r="45" spans="1:24" x14ac:dyDescent="0.25">
      <c r="A45" s="527"/>
      <c r="B45" s="528" t="s">
        <v>407</v>
      </c>
      <c r="C45" s="132">
        <v>155000000</v>
      </c>
      <c r="D45" s="64">
        <v>155000000</v>
      </c>
      <c r="E45" s="64">
        <v>155000000</v>
      </c>
      <c r="F45" s="64">
        <v>203000000</v>
      </c>
      <c r="G45" s="64"/>
      <c r="H45" s="64">
        <v>88167669</v>
      </c>
      <c r="I45" s="64">
        <v>139239500</v>
      </c>
      <c r="J45" s="64">
        <v>194019896</v>
      </c>
      <c r="K45" s="64"/>
      <c r="L45" s="518">
        <f t="shared" si="10"/>
        <v>0.56882367096774189</v>
      </c>
      <c r="M45" s="518">
        <f t="shared" si="11"/>
        <v>0.89831935483870973</v>
      </c>
      <c r="N45" s="518">
        <f t="shared" si="12"/>
        <v>0.95576303448275857</v>
      </c>
      <c r="O45" s="64"/>
      <c r="P45" s="503">
        <f t="shared" si="40"/>
        <v>0</v>
      </c>
      <c r="Q45" s="503">
        <f t="shared" si="40"/>
        <v>0</v>
      </c>
      <c r="R45" s="503">
        <f t="shared" si="40"/>
        <v>48000000</v>
      </c>
      <c r="S45" s="503">
        <f t="shared" ref="S45:S46" si="42">SUM(P45:R45)</f>
        <v>48000000</v>
      </c>
      <c r="T45" s="514">
        <f t="shared" si="17"/>
        <v>0.30967741935483872</v>
      </c>
      <c r="U45" s="64"/>
      <c r="V45" s="690">
        <f t="shared" si="18"/>
        <v>0</v>
      </c>
      <c r="W45" s="494"/>
      <c r="X45" s="494"/>
    </row>
    <row r="46" spans="1:24" x14ac:dyDescent="0.25">
      <c r="A46" s="527" t="s">
        <v>281</v>
      </c>
      <c r="B46" s="532" t="s">
        <v>408</v>
      </c>
      <c r="C46" s="132">
        <v>28000000</v>
      </c>
      <c r="D46" s="64">
        <v>28000000</v>
      </c>
      <c r="E46" s="64">
        <v>28000000</v>
      </c>
      <c r="F46" s="64">
        <v>28000000</v>
      </c>
      <c r="G46" s="64"/>
      <c r="H46" s="64">
        <v>14335458</v>
      </c>
      <c r="I46" s="64">
        <v>33506389</v>
      </c>
      <c r="J46" s="64">
        <v>26237965</v>
      </c>
      <c r="K46" s="64"/>
      <c r="L46" s="518">
        <f t="shared" si="10"/>
        <v>0.51198064285714284</v>
      </c>
      <c r="M46" s="518">
        <f t="shared" si="11"/>
        <v>1.19665675</v>
      </c>
      <c r="N46" s="518">
        <f t="shared" si="12"/>
        <v>0.9370701785714286</v>
      </c>
      <c r="O46" s="64"/>
      <c r="P46" s="503">
        <f t="shared" si="40"/>
        <v>0</v>
      </c>
      <c r="Q46" s="503">
        <f t="shared" si="40"/>
        <v>0</v>
      </c>
      <c r="R46" s="503">
        <f t="shared" si="40"/>
        <v>0</v>
      </c>
      <c r="S46" s="503">
        <f t="shared" si="42"/>
        <v>0</v>
      </c>
      <c r="T46" s="514">
        <f t="shared" si="17"/>
        <v>0</v>
      </c>
      <c r="U46" s="64"/>
      <c r="V46" s="690">
        <f t="shared" si="18"/>
        <v>0</v>
      </c>
      <c r="W46" s="494"/>
      <c r="X46" s="494"/>
    </row>
    <row r="47" spans="1:24" x14ac:dyDescent="0.25">
      <c r="A47" s="515" t="s">
        <v>282</v>
      </c>
      <c r="B47" s="516" t="s">
        <v>283</v>
      </c>
      <c r="C47" s="167">
        <f t="shared" ref="C47" si="43">SUM(C48:C49)</f>
        <v>4000000</v>
      </c>
      <c r="D47" s="167">
        <f>SUM(D48:D49)</f>
        <v>5000000</v>
      </c>
      <c r="E47" s="167">
        <f>SUM(E48:E49)</f>
        <v>5000000</v>
      </c>
      <c r="F47" s="167">
        <f>SUM(F48:F49)</f>
        <v>7000000</v>
      </c>
      <c r="G47" s="167"/>
      <c r="H47" s="167">
        <f>SUM(H48:H49)</f>
        <v>10551964</v>
      </c>
      <c r="I47" s="167">
        <f>SUM(I48:I49)</f>
        <v>8682252</v>
      </c>
      <c r="J47" s="167">
        <f>SUM(J48:J49)</f>
        <v>6749615</v>
      </c>
      <c r="K47" s="167"/>
      <c r="L47" s="518">
        <f t="shared" si="10"/>
        <v>2.1103928000000001</v>
      </c>
      <c r="M47" s="518">
        <f t="shared" si="11"/>
        <v>1.7364504000000001</v>
      </c>
      <c r="N47" s="518">
        <f t="shared" si="12"/>
        <v>0.96423071428571427</v>
      </c>
      <c r="O47" s="167"/>
      <c r="P47" s="167">
        <f t="shared" ref="P47:S47" si="44">SUM(P48:P49)</f>
        <v>1000000</v>
      </c>
      <c r="Q47" s="167">
        <f t="shared" si="44"/>
        <v>0</v>
      </c>
      <c r="R47" s="167">
        <f t="shared" si="44"/>
        <v>2000000</v>
      </c>
      <c r="S47" s="167">
        <f t="shared" si="44"/>
        <v>3000000</v>
      </c>
      <c r="T47" s="514">
        <f t="shared" si="17"/>
        <v>0.75</v>
      </c>
      <c r="U47" s="167"/>
      <c r="V47" s="690">
        <f t="shared" si="18"/>
        <v>0</v>
      </c>
      <c r="W47" s="494"/>
      <c r="X47" s="494"/>
    </row>
    <row r="48" spans="1:24" ht="63.6" customHeight="1" x14ac:dyDescent="0.25">
      <c r="A48" s="527"/>
      <c r="B48" s="519" t="s">
        <v>383</v>
      </c>
      <c r="C48" s="132">
        <v>4000000</v>
      </c>
      <c r="D48" s="64">
        <v>5000000</v>
      </c>
      <c r="E48" s="64">
        <v>5000000</v>
      </c>
      <c r="F48" s="64">
        <v>7000000</v>
      </c>
      <c r="G48" s="64"/>
      <c r="H48" s="64">
        <v>10551964</v>
      </c>
      <c r="I48" s="64">
        <v>8682252</v>
      </c>
      <c r="J48" s="64">
        <v>6749615</v>
      </c>
      <c r="K48" s="64"/>
      <c r="L48" s="518">
        <f t="shared" si="10"/>
        <v>2.1103928000000001</v>
      </c>
      <c r="M48" s="518">
        <f t="shared" si="11"/>
        <v>1.7364504000000001</v>
      </c>
      <c r="N48" s="518">
        <f t="shared" si="12"/>
        <v>0.96423071428571427</v>
      </c>
      <c r="O48" s="64"/>
      <c r="P48" s="503">
        <f t="shared" ref="P48:R49" si="45">+(D48-C48)*P$8</f>
        <v>1000000</v>
      </c>
      <c r="Q48" s="503">
        <f t="shared" si="45"/>
        <v>0</v>
      </c>
      <c r="R48" s="503">
        <f t="shared" si="45"/>
        <v>2000000</v>
      </c>
      <c r="S48" s="503">
        <f t="shared" ref="S48:S49" si="46">SUM(P48:R48)</f>
        <v>3000000</v>
      </c>
      <c r="T48" s="514">
        <f t="shared" si="17"/>
        <v>0.75</v>
      </c>
      <c r="U48" s="64"/>
      <c r="V48" s="690">
        <f t="shared" si="18"/>
        <v>0</v>
      </c>
      <c r="W48" s="494"/>
      <c r="X48" s="494"/>
    </row>
    <row r="49" spans="1:24" ht="35.1" customHeight="1" x14ac:dyDescent="0.25">
      <c r="A49" s="527"/>
      <c r="B49" s="519" t="s">
        <v>284</v>
      </c>
      <c r="C49" s="132">
        <v>0</v>
      </c>
      <c r="D49" s="64">
        <f>+C49</f>
        <v>0</v>
      </c>
      <c r="E49" s="64"/>
      <c r="F49" s="64"/>
      <c r="G49" s="64"/>
      <c r="H49" s="64">
        <v>0</v>
      </c>
      <c r="I49" s="64">
        <v>0</v>
      </c>
      <c r="J49" s="64">
        <v>0</v>
      </c>
      <c r="K49" s="64"/>
      <c r="L49" s="518">
        <f t="shared" si="10"/>
        <v>0</v>
      </c>
      <c r="M49" s="518">
        <f t="shared" si="11"/>
        <v>0</v>
      </c>
      <c r="N49" s="518">
        <f t="shared" si="12"/>
        <v>0</v>
      </c>
      <c r="O49" s="64"/>
      <c r="P49" s="503">
        <f t="shared" si="45"/>
        <v>0</v>
      </c>
      <c r="Q49" s="503">
        <f t="shared" si="45"/>
        <v>0</v>
      </c>
      <c r="R49" s="503">
        <f t="shared" si="45"/>
        <v>0</v>
      </c>
      <c r="S49" s="503">
        <f t="shared" si="46"/>
        <v>0</v>
      </c>
      <c r="T49" s="514">
        <f t="shared" si="17"/>
        <v>0</v>
      </c>
      <c r="U49" s="64"/>
      <c r="V49" s="690">
        <f t="shared" si="18"/>
        <v>0</v>
      </c>
      <c r="W49" s="494"/>
      <c r="X49" s="494"/>
    </row>
    <row r="50" spans="1:24" x14ac:dyDescent="0.25">
      <c r="A50" s="512" t="s">
        <v>285</v>
      </c>
      <c r="B50" s="513" t="s">
        <v>286</v>
      </c>
      <c r="C50" s="128">
        <f t="shared" ref="C50" si="47">SUM(C51:C66)</f>
        <v>53826000</v>
      </c>
      <c r="D50" s="128">
        <f>SUM(D51:D66)</f>
        <v>70076030</v>
      </c>
      <c r="E50" s="128">
        <f>SUM(E51:E66)</f>
        <v>120076030</v>
      </c>
      <c r="F50" s="128">
        <f>SUM(F51:F66)</f>
        <v>150652038</v>
      </c>
      <c r="G50" s="128"/>
      <c r="H50" s="128">
        <f>SUM(H51:H66)</f>
        <v>42255037</v>
      </c>
      <c r="I50" s="128">
        <f>SUM(I51:I66)</f>
        <v>57590433</v>
      </c>
      <c r="J50" s="128">
        <f>SUM(J51:J66)</f>
        <v>71522444</v>
      </c>
      <c r="K50" s="128"/>
      <c r="L50" s="541">
        <f t="shared" si="10"/>
        <v>0.60298845411191249</v>
      </c>
      <c r="M50" s="541">
        <f t="shared" si="11"/>
        <v>0.47961639804380607</v>
      </c>
      <c r="N50" s="541">
        <f t="shared" si="12"/>
        <v>0.47475258184028019</v>
      </c>
      <c r="O50" s="128"/>
      <c r="P50" s="128">
        <f t="shared" ref="P50:S50" si="48">SUM(P51:P66)</f>
        <v>16250030</v>
      </c>
      <c r="Q50" s="128">
        <f t="shared" si="48"/>
        <v>50000000</v>
      </c>
      <c r="R50" s="128">
        <f t="shared" si="48"/>
        <v>30576008</v>
      </c>
      <c r="S50" s="128">
        <f t="shared" si="48"/>
        <v>96826038</v>
      </c>
      <c r="T50" s="514">
        <f t="shared" si="17"/>
        <v>1.7988711403410991</v>
      </c>
      <c r="U50" s="128"/>
      <c r="V50" s="690">
        <f t="shared" si="18"/>
        <v>0</v>
      </c>
      <c r="W50" s="494"/>
      <c r="X50" s="494"/>
    </row>
    <row r="51" spans="1:24" x14ac:dyDescent="0.25">
      <c r="A51" s="527" t="s">
        <v>287</v>
      </c>
      <c r="B51" s="530" t="s">
        <v>507</v>
      </c>
      <c r="C51" s="132">
        <f>SUM(D51:D51)</f>
        <v>0</v>
      </c>
      <c r="D51" s="64"/>
      <c r="E51" s="132">
        <v>0</v>
      </c>
      <c r="F51" s="132">
        <v>0</v>
      </c>
      <c r="G51" s="132"/>
      <c r="H51" s="132">
        <v>0</v>
      </c>
      <c r="I51" s="132">
        <v>0</v>
      </c>
      <c r="J51" s="132">
        <v>0</v>
      </c>
      <c r="K51" s="132"/>
      <c r="L51" s="531">
        <f t="shared" si="10"/>
        <v>0</v>
      </c>
      <c r="M51" s="531">
        <f t="shared" si="11"/>
        <v>0</v>
      </c>
      <c r="N51" s="531">
        <f t="shared" si="12"/>
        <v>0</v>
      </c>
      <c r="O51" s="132"/>
      <c r="P51" s="132"/>
      <c r="Q51" s="503">
        <f t="shared" ref="Q51:Q66" si="49">+(E51-D51)*Q$8</f>
        <v>0</v>
      </c>
      <c r="R51" s="132"/>
      <c r="S51" s="503">
        <f t="shared" ref="S51:S66" si="50">SUM(P51:R51)</f>
        <v>0</v>
      </c>
      <c r="T51" s="543"/>
      <c r="U51" s="132"/>
      <c r="V51" s="690">
        <f t="shared" si="18"/>
        <v>0</v>
      </c>
      <c r="W51" s="494"/>
      <c r="X51" s="494"/>
    </row>
    <row r="52" spans="1:24" x14ac:dyDescent="0.25">
      <c r="A52" s="527" t="s">
        <v>288</v>
      </c>
      <c r="B52" s="533" t="s">
        <v>289</v>
      </c>
      <c r="C52" s="132">
        <v>20000000</v>
      </c>
      <c r="D52" s="64">
        <v>36000000</v>
      </c>
      <c r="E52" s="64">
        <v>36000000</v>
      </c>
      <c r="F52" s="64">
        <v>52083407</v>
      </c>
      <c r="G52" s="64"/>
      <c r="H52" s="64">
        <v>20923750</v>
      </c>
      <c r="I52" s="64">
        <v>30741803</v>
      </c>
      <c r="J52" s="64">
        <v>39120126</v>
      </c>
      <c r="K52" s="64"/>
      <c r="L52" s="518">
        <f t="shared" si="10"/>
        <v>0.58121527777777782</v>
      </c>
      <c r="M52" s="518">
        <f t="shared" si="11"/>
        <v>0.85393897222222226</v>
      </c>
      <c r="N52" s="518">
        <f t="shared" si="12"/>
        <v>0.7511053568365833</v>
      </c>
      <c r="O52" s="64"/>
      <c r="P52" s="503">
        <f t="shared" ref="P52:P66" si="51">+(D52-C52)*P$8</f>
        <v>16000000</v>
      </c>
      <c r="Q52" s="503">
        <f t="shared" si="49"/>
        <v>0</v>
      </c>
      <c r="R52" s="503">
        <f t="shared" ref="R52:R66" si="52">+(F52-E52)*R$8</f>
        <v>16083407</v>
      </c>
      <c r="S52" s="503">
        <f t="shared" si="50"/>
        <v>32083407</v>
      </c>
      <c r="T52" s="514">
        <f t="shared" ref="T52:T96" si="53">IF(C52=0,0,+S52/C52)</f>
        <v>1.60417035</v>
      </c>
      <c r="U52" s="64"/>
      <c r="V52" s="690">
        <f t="shared" si="18"/>
        <v>0</v>
      </c>
      <c r="W52" s="494"/>
      <c r="X52" s="494"/>
    </row>
    <row r="53" spans="1:24" x14ac:dyDescent="0.25">
      <c r="A53" s="527" t="s">
        <v>290</v>
      </c>
      <c r="B53" s="533" t="s">
        <v>291</v>
      </c>
      <c r="C53" s="132">
        <v>25000000</v>
      </c>
      <c r="D53" s="64">
        <v>24641850</v>
      </c>
      <c r="E53" s="64">
        <v>24641850</v>
      </c>
      <c r="F53" s="64">
        <v>32158202</v>
      </c>
      <c r="G53" s="64"/>
      <c r="H53" s="64">
        <v>13972469</v>
      </c>
      <c r="I53" s="64">
        <v>17486366</v>
      </c>
      <c r="J53" s="64">
        <v>21347322</v>
      </c>
      <c r="K53" s="64"/>
      <c r="L53" s="518">
        <f t="shared" si="10"/>
        <v>0.56702191596815987</v>
      </c>
      <c r="M53" s="518">
        <f t="shared" si="11"/>
        <v>0.70962066565619064</v>
      </c>
      <c r="N53" s="518">
        <f t="shared" si="12"/>
        <v>0.66382200099371225</v>
      </c>
      <c r="O53" s="64"/>
      <c r="P53" s="503">
        <f t="shared" si="51"/>
        <v>-358150</v>
      </c>
      <c r="Q53" s="503">
        <f t="shared" si="49"/>
        <v>0</v>
      </c>
      <c r="R53" s="503">
        <f t="shared" si="52"/>
        <v>7516352</v>
      </c>
      <c r="S53" s="503">
        <f t="shared" si="50"/>
        <v>7158202</v>
      </c>
      <c r="T53" s="514">
        <f t="shared" si="53"/>
        <v>0.28632807999999998</v>
      </c>
      <c r="U53" s="64"/>
      <c r="V53" s="690">
        <f t="shared" si="18"/>
        <v>0</v>
      </c>
      <c r="W53" s="494"/>
      <c r="X53" s="494"/>
    </row>
    <row r="54" spans="1:24" x14ac:dyDescent="0.25">
      <c r="A54" s="527"/>
      <c r="B54" s="533" t="s">
        <v>292</v>
      </c>
      <c r="C54" s="132"/>
      <c r="D54" s="64"/>
      <c r="E54" s="64"/>
      <c r="F54" s="64"/>
      <c r="G54" s="64"/>
      <c r="H54" s="64"/>
      <c r="I54" s="64"/>
      <c r="J54" s="64"/>
      <c r="K54" s="64"/>
      <c r="L54" s="531">
        <f t="shared" si="10"/>
        <v>0</v>
      </c>
      <c r="M54" s="531">
        <f t="shared" si="11"/>
        <v>0</v>
      </c>
      <c r="N54" s="531">
        <f t="shared" si="12"/>
        <v>0</v>
      </c>
      <c r="O54" s="64"/>
      <c r="P54" s="503">
        <f t="shared" si="51"/>
        <v>0</v>
      </c>
      <c r="Q54" s="503">
        <f t="shared" si="49"/>
        <v>0</v>
      </c>
      <c r="R54" s="503">
        <f t="shared" si="52"/>
        <v>0</v>
      </c>
      <c r="S54" s="503">
        <f t="shared" si="50"/>
        <v>0</v>
      </c>
      <c r="T54" s="514">
        <f t="shared" si="53"/>
        <v>0</v>
      </c>
      <c r="U54" s="64"/>
      <c r="V54" s="690">
        <f t="shared" si="18"/>
        <v>0</v>
      </c>
      <c r="W54" s="494"/>
      <c r="X54" s="494"/>
    </row>
    <row r="55" spans="1:24" x14ac:dyDescent="0.25">
      <c r="A55" s="527" t="s">
        <v>293</v>
      </c>
      <c r="B55" s="533" t="s">
        <v>294</v>
      </c>
      <c r="C55" s="132">
        <v>0</v>
      </c>
      <c r="D55" s="64">
        <v>0</v>
      </c>
      <c r="E55" s="64">
        <v>0</v>
      </c>
      <c r="F55" s="64">
        <v>0</v>
      </c>
      <c r="G55" s="64"/>
      <c r="H55" s="64">
        <v>0</v>
      </c>
      <c r="I55" s="64">
        <v>0</v>
      </c>
      <c r="J55" s="64">
        <v>0</v>
      </c>
      <c r="K55" s="64"/>
      <c r="L55" s="531">
        <f t="shared" si="10"/>
        <v>0</v>
      </c>
      <c r="M55" s="531">
        <f t="shared" si="11"/>
        <v>0</v>
      </c>
      <c r="N55" s="531">
        <f t="shared" si="12"/>
        <v>0</v>
      </c>
      <c r="O55" s="64"/>
      <c r="P55" s="503">
        <f t="shared" si="51"/>
        <v>0</v>
      </c>
      <c r="Q55" s="503">
        <f t="shared" si="49"/>
        <v>0</v>
      </c>
      <c r="R55" s="503">
        <f t="shared" si="52"/>
        <v>0</v>
      </c>
      <c r="S55" s="503">
        <f t="shared" si="50"/>
        <v>0</v>
      </c>
      <c r="T55" s="514">
        <f t="shared" si="53"/>
        <v>0</v>
      </c>
      <c r="U55" s="64"/>
      <c r="V55" s="690">
        <f t="shared" si="18"/>
        <v>0</v>
      </c>
      <c r="W55" s="494"/>
      <c r="X55" s="494"/>
    </row>
    <row r="56" spans="1:24" ht="39.6" customHeight="1" x14ac:dyDescent="0.25">
      <c r="A56" s="527"/>
      <c r="B56" s="533" t="s">
        <v>295</v>
      </c>
      <c r="C56" s="132"/>
      <c r="D56" s="64"/>
      <c r="E56" s="64"/>
      <c r="F56" s="64"/>
      <c r="G56" s="64"/>
      <c r="H56" s="64"/>
      <c r="I56" s="64"/>
      <c r="J56" s="64"/>
      <c r="K56" s="64"/>
      <c r="L56" s="531">
        <f t="shared" si="10"/>
        <v>0</v>
      </c>
      <c r="M56" s="531">
        <f t="shared" si="11"/>
        <v>0</v>
      </c>
      <c r="N56" s="531">
        <f t="shared" si="12"/>
        <v>0</v>
      </c>
      <c r="O56" s="64"/>
      <c r="P56" s="503">
        <f t="shared" si="51"/>
        <v>0</v>
      </c>
      <c r="Q56" s="503">
        <f t="shared" si="49"/>
        <v>0</v>
      </c>
      <c r="R56" s="503">
        <f t="shared" si="52"/>
        <v>0</v>
      </c>
      <c r="S56" s="503">
        <f t="shared" si="50"/>
        <v>0</v>
      </c>
      <c r="T56" s="514">
        <f t="shared" si="53"/>
        <v>0</v>
      </c>
      <c r="U56" s="64"/>
      <c r="V56" s="690">
        <f t="shared" si="18"/>
        <v>0</v>
      </c>
      <c r="W56" s="494"/>
      <c r="X56" s="494"/>
    </row>
    <row r="57" spans="1:24" x14ac:dyDescent="0.25">
      <c r="A57" s="527" t="s">
        <v>296</v>
      </c>
      <c r="B57" s="533" t="s">
        <v>297</v>
      </c>
      <c r="C57" s="132"/>
      <c r="D57" s="64"/>
      <c r="E57" s="64"/>
      <c r="F57" s="64"/>
      <c r="G57" s="64"/>
      <c r="H57" s="64">
        <v>0</v>
      </c>
      <c r="I57" s="64">
        <v>0</v>
      </c>
      <c r="J57" s="64">
        <v>0</v>
      </c>
      <c r="K57" s="64"/>
      <c r="L57" s="531">
        <f t="shared" si="10"/>
        <v>0</v>
      </c>
      <c r="M57" s="531">
        <f t="shared" si="11"/>
        <v>0</v>
      </c>
      <c r="N57" s="531">
        <f t="shared" si="12"/>
        <v>0</v>
      </c>
      <c r="O57" s="64"/>
      <c r="P57" s="503">
        <f t="shared" si="51"/>
        <v>0</v>
      </c>
      <c r="Q57" s="503">
        <f t="shared" si="49"/>
        <v>0</v>
      </c>
      <c r="R57" s="503">
        <f t="shared" si="52"/>
        <v>0</v>
      </c>
      <c r="S57" s="503">
        <f t="shared" si="50"/>
        <v>0</v>
      </c>
      <c r="T57" s="514">
        <f t="shared" si="53"/>
        <v>0</v>
      </c>
      <c r="U57" s="64"/>
      <c r="V57" s="690">
        <f t="shared" si="18"/>
        <v>0</v>
      </c>
      <c r="W57" s="494"/>
      <c r="X57" s="494"/>
    </row>
    <row r="58" spans="1:24" ht="70.2" customHeight="1" x14ac:dyDescent="0.25">
      <c r="A58" s="527"/>
      <c r="B58" s="533" t="s">
        <v>298</v>
      </c>
      <c r="C58" s="132"/>
      <c r="D58" s="64"/>
      <c r="E58" s="64"/>
      <c r="F58" s="64"/>
      <c r="G58" s="64"/>
      <c r="H58" s="64"/>
      <c r="I58" s="64"/>
      <c r="J58" s="64"/>
      <c r="K58" s="64"/>
      <c r="L58" s="531">
        <f t="shared" si="10"/>
        <v>0</v>
      </c>
      <c r="M58" s="531">
        <f t="shared" si="11"/>
        <v>0</v>
      </c>
      <c r="N58" s="531">
        <f t="shared" si="12"/>
        <v>0</v>
      </c>
      <c r="O58" s="64"/>
      <c r="P58" s="503">
        <f t="shared" si="51"/>
        <v>0</v>
      </c>
      <c r="Q58" s="503">
        <f t="shared" si="49"/>
        <v>0</v>
      </c>
      <c r="R58" s="503">
        <f t="shared" si="52"/>
        <v>0</v>
      </c>
      <c r="S58" s="503">
        <f t="shared" si="50"/>
        <v>0</v>
      </c>
      <c r="T58" s="514">
        <f t="shared" si="53"/>
        <v>0</v>
      </c>
      <c r="U58" s="64"/>
      <c r="V58" s="690">
        <f t="shared" si="18"/>
        <v>0</v>
      </c>
      <c r="W58" s="494"/>
      <c r="X58" s="494"/>
    </row>
    <row r="59" spans="1:24" x14ac:dyDescent="0.25">
      <c r="A59" s="527" t="s">
        <v>299</v>
      </c>
      <c r="B59" s="533" t="s">
        <v>300</v>
      </c>
      <c r="C59" s="132">
        <f>4000000+4826000</f>
        <v>8826000</v>
      </c>
      <c r="D59" s="64">
        <v>8826000</v>
      </c>
      <c r="E59" s="64">
        <v>8826000</v>
      </c>
      <c r="F59" s="64">
        <v>15693199</v>
      </c>
      <c r="G59" s="64"/>
      <c r="H59" s="64">
        <v>6764607</v>
      </c>
      <c r="I59" s="64">
        <v>8761406</v>
      </c>
      <c r="J59" s="64">
        <v>10346008</v>
      </c>
      <c r="K59" s="64"/>
      <c r="L59" s="518">
        <f t="shared" si="10"/>
        <v>0.76644085656016314</v>
      </c>
      <c r="M59" s="518">
        <f t="shared" si="11"/>
        <v>0.99268139587582138</v>
      </c>
      <c r="N59" s="518">
        <f t="shared" si="12"/>
        <v>0.65926698565410402</v>
      </c>
      <c r="O59" s="64"/>
      <c r="P59" s="503">
        <f t="shared" si="51"/>
        <v>0</v>
      </c>
      <c r="Q59" s="503">
        <f t="shared" si="49"/>
        <v>0</v>
      </c>
      <c r="R59" s="503">
        <f t="shared" si="52"/>
        <v>6867199</v>
      </c>
      <c r="S59" s="503">
        <f t="shared" si="50"/>
        <v>6867199</v>
      </c>
      <c r="T59" s="514">
        <f t="shared" si="53"/>
        <v>0.77806469521867205</v>
      </c>
      <c r="U59" s="64"/>
      <c r="V59" s="690">
        <f t="shared" si="18"/>
        <v>0</v>
      </c>
      <c r="W59" s="494"/>
      <c r="X59" s="494"/>
    </row>
    <row r="60" spans="1:24" x14ac:dyDescent="0.25">
      <c r="A60" s="527" t="s">
        <v>301</v>
      </c>
      <c r="B60" s="533" t="s">
        <v>302</v>
      </c>
      <c r="C60" s="132"/>
      <c r="D60" s="64"/>
      <c r="E60" s="64"/>
      <c r="F60" s="64"/>
      <c r="G60" s="64"/>
      <c r="H60" s="64"/>
      <c r="I60" s="64"/>
      <c r="J60" s="64"/>
      <c r="K60" s="64"/>
      <c r="L60" s="531">
        <f t="shared" si="10"/>
        <v>0</v>
      </c>
      <c r="M60" s="531">
        <f t="shared" si="11"/>
        <v>0</v>
      </c>
      <c r="N60" s="531">
        <f t="shared" si="12"/>
        <v>0</v>
      </c>
      <c r="O60" s="64"/>
      <c r="P60" s="503">
        <f t="shared" si="51"/>
        <v>0</v>
      </c>
      <c r="Q60" s="503">
        <f t="shared" si="49"/>
        <v>0</v>
      </c>
      <c r="R60" s="503">
        <f t="shared" si="52"/>
        <v>0</v>
      </c>
      <c r="S60" s="503">
        <f t="shared" si="50"/>
        <v>0</v>
      </c>
      <c r="T60" s="514">
        <f t="shared" si="53"/>
        <v>0</v>
      </c>
      <c r="U60" s="64"/>
      <c r="V60" s="690">
        <f t="shared" si="18"/>
        <v>0</v>
      </c>
      <c r="W60" s="494"/>
      <c r="X60" s="494"/>
    </row>
    <row r="61" spans="1:24" x14ac:dyDescent="0.25">
      <c r="A61" s="527"/>
      <c r="B61" s="533" t="s">
        <v>303</v>
      </c>
      <c r="C61" s="132"/>
      <c r="D61" s="64"/>
      <c r="E61" s="64"/>
      <c r="F61" s="64"/>
      <c r="G61" s="64"/>
      <c r="H61" s="64"/>
      <c r="I61" s="64"/>
      <c r="J61" s="64"/>
      <c r="K61" s="64"/>
      <c r="L61" s="531">
        <f t="shared" si="10"/>
        <v>0</v>
      </c>
      <c r="M61" s="531">
        <f t="shared" si="11"/>
        <v>0</v>
      </c>
      <c r="N61" s="531">
        <f t="shared" si="12"/>
        <v>0</v>
      </c>
      <c r="O61" s="64"/>
      <c r="P61" s="503">
        <f t="shared" si="51"/>
        <v>0</v>
      </c>
      <c r="Q61" s="503">
        <f t="shared" si="49"/>
        <v>0</v>
      </c>
      <c r="R61" s="503">
        <f t="shared" si="52"/>
        <v>0</v>
      </c>
      <c r="S61" s="503">
        <f t="shared" si="50"/>
        <v>0</v>
      </c>
      <c r="T61" s="514">
        <f t="shared" si="53"/>
        <v>0</v>
      </c>
      <c r="U61" s="64"/>
      <c r="V61" s="690">
        <f t="shared" si="18"/>
        <v>0</v>
      </c>
      <c r="W61" s="494"/>
      <c r="X61" s="494"/>
    </row>
    <row r="62" spans="1:24" x14ac:dyDescent="0.25">
      <c r="A62" s="527" t="s">
        <v>304</v>
      </c>
      <c r="B62" s="533" t="s">
        <v>305</v>
      </c>
      <c r="C62" s="132">
        <v>0</v>
      </c>
      <c r="D62" s="64">
        <v>24429</v>
      </c>
      <c r="E62" s="64">
        <v>24429</v>
      </c>
      <c r="F62" s="64">
        <v>49429</v>
      </c>
      <c r="G62" s="64"/>
      <c r="H62" s="64">
        <v>24429</v>
      </c>
      <c r="I62" s="64">
        <v>35758</v>
      </c>
      <c r="J62" s="64">
        <v>47935</v>
      </c>
      <c r="K62" s="64"/>
      <c r="L62" s="518">
        <f t="shared" si="10"/>
        <v>1</v>
      </c>
      <c r="M62" s="518">
        <f t="shared" si="11"/>
        <v>1.4637520979164109</v>
      </c>
      <c r="N62" s="518">
        <f t="shared" si="12"/>
        <v>0.96977482854194907</v>
      </c>
      <c r="O62" s="64"/>
      <c r="P62" s="503">
        <f t="shared" si="51"/>
        <v>24429</v>
      </c>
      <c r="Q62" s="503">
        <f t="shared" si="49"/>
        <v>0</v>
      </c>
      <c r="R62" s="503">
        <f t="shared" si="52"/>
        <v>25000</v>
      </c>
      <c r="S62" s="503">
        <f t="shared" si="50"/>
        <v>49429</v>
      </c>
      <c r="T62" s="514">
        <f t="shared" si="53"/>
        <v>0</v>
      </c>
      <c r="U62" s="64"/>
      <c r="V62" s="690">
        <f t="shared" si="18"/>
        <v>0</v>
      </c>
      <c r="W62" s="494"/>
      <c r="X62" s="494"/>
    </row>
    <row r="63" spans="1:24" x14ac:dyDescent="0.25">
      <c r="A63" s="527" t="s">
        <v>306</v>
      </c>
      <c r="B63" s="533" t="s">
        <v>307</v>
      </c>
      <c r="C63" s="132">
        <v>0</v>
      </c>
      <c r="D63" s="64"/>
      <c r="E63" s="64"/>
      <c r="F63" s="64"/>
      <c r="G63" s="64"/>
      <c r="H63" s="64"/>
      <c r="I63" s="64"/>
      <c r="J63" s="64"/>
      <c r="K63" s="64"/>
      <c r="L63" s="518">
        <f t="shared" si="10"/>
        <v>0</v>
      </c>
      <c r="M63" s="518">
        <f t="shared" si="11"/>
        <v>0</v>
      </c>
      <c r="N63" s="518">
        <f t="shared" si="12"/>
        <v>0</v>
      </c>
      <c r="O63" s="64"/>
      <c r="P63" s="503">
        <f t="shared" si="51"/>
        <v>0</v>
      </c>
      <c r="Q63" s="503">
        <f t="shared" si="49"/>
        <v>0</v>
      </c>
      <c r="R63" s="503">
        <f t="shared" si="52"/>
        <v>0</v>
      </c>
      <c r="S63" s="503">
        <f t="shared" si="50"/>
        <v>0</v>
      </c>
      <c r="T63" s="514">
        <f t="shared" si="53"/>
        <v>0</v>
      </c>
      <c r="U63" s="64"/>
      <c r="V63" s="690">
        <f t="shared" si="18"/>
        <v>0</v>
      </c>
      <c r="W63" s="494"/>
      <c r="X63" s="494"/>
    </row>
    <row r="64" spans="1:24" ht="52.5" customHeight="1" x14ac:dyDescent="0.25">
      <c r="A64" s="527"/>
      <c r="B64" s="533" t="s">
        <v>308</v>
      </c>
      <c r="C64" s="132"/>
      <c r="D64" s="64"/>
      <c r="E64" s="64"/>
      <c r="F64" s="64"/>
      <c r="G64" s="64"/>
      <c r="H64" s="64"/>
      <c r="I64" s="64"/>
      <c r="J64" s="64"/>
      <c r="K64" s="64"/>
      <c r="L64" s="518">
        <f t="shared" si="10"/>
        <v>0</v>
      </c>
      <c r="M64" s="518">
        <f t="shared" si="11"/>
        <v>0</v>
      </c>
      <c r="N64" s="518">
        <f t="shared" si="12"/>
        <v>0</v>
      </c>
      <c r="O64" s="64"/>
      <c r="P64" s="503">
        <f t="shared" si="51"/>
        <v>0</v>
      </c>
      <c r="Q64" s="503">
        <f t="shared" si="49"/>
        <v>0</v>
      </c>
      <c r="R64" s="503">
        <f t="shared" si="52"/>
        <v>0</v>
      </c>
      <c r="S64" s="503">
        <f t="shared" si="50"/>
        <v>0</v>
      </c>
      <c r="T64" s="514">
        <f t="shared" si="53"/>
        <v>0</v>
      </c>
      <c r="U64" s="64"/>
      <c r="V64" s="690">
        <f t="shared" si="18"/>
        <v>0</v>
      </c>
      <c r="W64" s="494"/>
      <c r="X64" s="494"/>
    </row>
    <row r="65" spans="1:24" x14ac:dyDescent="0.25">
      <c r="A65" s="534" t="s">
        <v>392</v>
      </c>
      <c r="B65" s="533" t="s">
        <v>309</v>
      </c>
      <c r="C65" s="132">
        <v>0</v>
      </c>
      <c r="D65" s="64">
        <f>360000+223751</f>
        <v>583751</v>
      </c>
      <c r="E65" s="64">
        <f>360000+50223751</f>
        <v>50583751</v>
      </c>
      <c r="F65" s="64">
        <f>434050+50233751</f>
        <v>50667801</v>
      </c>
      <c r="G65" s="64"/>
      <c r="H65" s="64">
        <f>360000+209782</f>
        <v>569782</v>
      </c>
      <c r="I65" s="64">
        <f>360000+205100</f>
        <v>565100</v>
      </c>
      <c r="J65" s="64">
        <f>434050+227003</f>
        <v>661053</v>
      </c>
      <c r="K65" s="64"/>
      <c r="L65" s="518">
        <f t="shared" si="10"/>
        <v>0.9760702765391408</v>
      </c>
      <c r="M65" s="518">
        <f t="shared" si="11"/>
        <v>1.1171571677236827E-2</v>
      </c>
      <c r="N65" s="518">
        <f t="shared" si="12"/>
        <v>1.3046806590244563E-2</v>
      </c>
      <c r="O65" s="64"/>
      <c r="P65" s="503">
        <f t="shared" si="51"/>
        <v>583751</v>
      </c>
      <c r="Q65" s="503">
        <f t="shared" si="49"/>
        <v>50000000</v>
      </c>
      <c r="R65" s="503">
        <f t="shared" si="52"/>
        <v>84050</v>
      </c>
      <c r="S65" s="503">
        <f t="shared" si="50"/>
        <v>50667801</v>
      </c>
      <c r="T65" s="514">
        <f t="shared" si="53"/>
        <v>0</v>
      </c>
      <c r="U65" s="64"/>
      <c r="V65" s="690">
        <f t="shared" si="18"/>
        <v>0</v>
      </c>
      <c r="W65" s="494"/>
      <c r="X65" s="494"/>
    </row>
    <row r="66" spans="1:24" ht="39" customHeight="1" x14ac:dyDescent="0.25">
      <c r="A66" s="527"/>
      <c r="B66" s="533" t="s">
        <v>310</v>
      </c>
      <c r="C66" s="170"/>
      <c r="D66" s="169">
        <v>0</v>
      </c>
      <c r="E66" s="169"/>
      <c r="F66" s="169"/>
      <c r="G66" s="169"/>
      <c r="H66" s="169">
        <v>0</v>
      </c>
      <c r="I66" s="169"/>
      <c r="J66" s="169"/>
      <c r="K66" s="169"/>
      <c r="L66" s="518">
        <f t="shared" si="10"/>
        <v>0</v>
      </c>
      <c r="M66" s="518">
        <f t="shared" si="11"/>
        <v>0</v>
      </c>
      <c r="N66" s="518">
        <f t="shared" si="12"/>
        <v>0</v>
      </c>
      <c r="O66" s="169"/>
      <c r="P66" s="503">
        <f t="shared" si="51"/>
        <v>0</v>
      </c>
      <c r="Q66" s="503">
        <f t="shared" si="49"/>
        <v>0</v>
      </c>
      <c r="R66" s="503">
        <f t="shared" si="52"/>
        <v>0</v>
      </c>
      <c r="S66" s="503">
        <f t="shared" si="50"/>
        <v>0</v>
      </c>
      <c r="T66" s="514">
        <f t="shared" si="53"/>
        <v>0</v>
      </c>
      <c r="U66" s="169"/>
      <c r="V66" s="690">
        <f t="shared" si="18"/>
        <v>0</v>
      </c>
      <c r="W66" s="494"/>
      <c r="X66" s="494"/>
    </row>
    <row r="67" spans="1:24" x14ac:dyDescent="0.25">
      <c r="A67" s="512" t="s">
        <v>311</v>
      </c>
      <c r="B67" s="513" t="s">
        <v>312</v>
      </c>
      <c r="C67" s="130">
        <f>SUM(C68:C71)</f>
        <v>100700000</v>
      </c>
      <c r="D67" s="128">
        <f>SUM(D68:D71)</f>
        <v>97252913</v>
      </c>
      <c r="E67" s="128">
        <f>SUM(E68:E71)</f>
        <v>90632470</v>
      </c>
      <c r="F67" s="128">
        <f>SUM(F68:F71)</f>
        <v>34411075</v>
      </c>
      <c r="G67" s="128"/>
      <c r="H67" s="128">
        <f t="shared" ref="H67" si="54">SUM(H68:H71)</f>
        <v>11629471</v>
      </c>
      <c r="I67" s="128">
        <f>SUM(I68:I71)</f>
        <v>15967376</v>
      </c>
      <c r="J67" s="542">
        <f>SUM(J68:J71)</f>
        <v>21217407</v>
      </c>
      <c r="K67" s="542"/>
      <c r="L67" s="541">
        <f t="shared" si="10"/>
        <v>0.11957966750055085</v>
      </c>
      <c r="M67" s="541">
        <f t="shared" si="11"/>
        <v>0.17617721330997599</v>
      </c>
      <c r="N67" s="541">
        <f t="shared" si="12"/>
        <v>0.61658657859424615</v>
      </c>
      <c r="O67" s="542"/>
      <c r="P67" s="542">
        <f t="shared" ref="P67:S67" si="55">SUM(P68:P71)</f>
        <v>-3447087</v>
      </c>
      <c r="Q67" s="128">
        <f t="shared" si="55"/>
        <v>-6620443</v>
      </c>
      <c r="R67" s="128">
        <f t="shared" si="55"/>
        <v>-56221395</v>
      </c>
      <c r="S67" s="128">
        <f t="shared" si="55"/>
        <v>-66288925</v>
      </c>
      <c r="T67" s="514">
        <f t="shared" si="53"/>
        <v>-0.65828128103277062</v>
      </c>
      <c r="U67" s="128"/>
      <c r="V67" s="690">
        <f t="shared" si="18"/>
        <v>0</v>
      </c>
      <c r="W67" s="494"/>
      <c r="X67" s="494"/>
    </row>
    <row r="68" spans="1:24" x14ac:dyDescent="0.25">
      <c r="A68" s="527" t="s">
        <v>313</v>
      </c>
      <c r="B68" s="533" t="s">
        <v>314</v>
      </c>
      <c r="C68" s="132"/>
      <c r="D68" s="64"/>
      <c r="E68" s="132"/>
      <c r="F68" s="132"/>
      <c r="G68" s="132"/>
      <c r="H68" s="132"/>
      <c r="I68" s="132"/>
      <c r="J68" s="132"/>
      <c r="K68" s="132"/>
      <c r="L68" s="518">
        <f t="shared" si="10"/>
        <v>0</v>
      </c>
      <c r="M68" s="518">
        <f t="shared" si="11"/>
        <v>0</v>
      </c>
      <c r="N68" s="518">
        <f t="shared" si="12"/>
        <v>0</v>
      </c>
      <c r="O68" s="132"/>
      <c r="P68" s="503">
        <f t="shared" ref="P68:R71" si="56">+(D68-C68)*P$8</f>
        <v>0</v>
      </c>
      <c r="Q68" s="503">
        <f t="shared" si="56"/>
        <v>0</v>
      </c>
      <c r="R68" s="503">
        <f t="shared" si="56"/>
        <v>0</v>
      </c>
      <c r="S68" s="503">
        <f t="shared" ref="S68" si="57">SUM(P68:R68)</f>
        <v>0</v>
      </c>
      <c r="T68" s="514">
        <f t="shared" si="53"/>
        <v>0</v>
      </c>
      <c r="U68" s="132"/>
      <c r="V68" s="690">
        <f t="shared" si="18"/>
        <v>0</v>
      </c>
      <c r="W68" s="494"/>
      <c r="X68" s="494"/>
    </row>
    <row r="69" spans="1:24" x14ac:dyDescent="0.25">
      <c r="A69" s="527" t="s">
        <v>315</v>
      </c>
      <c r="B69" s="533" t="s">
        <v>316</v>
      </c>
      <c r="C69" s="132">
        <v>100700000</v>
      </c>
      <c r="D69" s="64">
        <v>97252913</v>
      </c>
      <c r="E69" s="64">
        <v>90632470</v>
      </c>
      <c r="F69" s="64">
        <v>34411075</v>
      </c>
      <c r="G69" s="64"/>
      <c r="H69" s="64">
        <v>11629471</v>
      </c>
      <c r="I69" s="64">
        <v>15967376</v>
      </c>
      <c r="J69" s="64">
        <v>21217407</v>
      </c>
      <c r="K69" s="64"/>
      <c r="L69" s="518">
        <f t="shared" si="10"/>
        <v>0.11957966750055085</v>
      </c>
      <c r="M69" s="518">
        <f t="shared" si="11"/>
        <v>0.17617721330997599</v>
      </c>
      <c r="N69" s="518">
        <f t="shared" si="12"/>
        <v>0.61658657859424615</v>
      </c>
      <c r="O69" s="64"/>
      <c r="P69" s="503">
        <f t="shared" si="56"/>
        <v>-3447087</v>
      </c>
      <c r="Q69" s="503">
        <f t="shared" si="56"/>
        <v>-6620443</v>
      </c>
      <c r="R69" s="503">
        <f t="shared" si="56"/>
        <v>-56221395</v>
      </c>
      <c r="S69" s="503">
        <f t="shared" ref="S69:S71" si="58">SUM(P69:R69)</f>
        <v>-66288925</v>
      </c>
      <c r="T69" s="514">
        <f t="shared" si="53"/>
        <v>-0.65828128103277062</v>
      </c>
      <c r="U69" s="64"/>
      <c r="V69" s="690">
        <f t="shared" si="18"/>
        <v>0</v>
      </c>
      <c r="W69" s="494"/>
      <c r="X69" s="494"/>
    </row>
    <row r="70" spans="1:24" x14ac:dyDescent="0.25">
      <c r="A70" s="527" t="s">
        <v>317</v>
      </c>
      <c r="B70" s="533" t="s">
        <v>318</v>
      </c>
      <c r="C70" s="132">
        <v>0</v>
      </c>
      <c r="D70" s="64">
        <v>0</v>
      </c>
      <c r="E70" s="64">
        <v>0</v>
      </c>
      <c r="F70" s="64"/>
      <c r="G70" s="64"/>
      <c r="H70" s="64">
        <v>0</v>
      </c>
      <c r="I70" s="64">
        <v>0</v>
      </c>
      <c r="J70" s="64"/>
      <c r="K70" s="64"/>
      <c r="L70" s="518">
        <f t="shared" si="10"/>
        <v>0</v>
      </c>
      <c r="M70" s="518">
        <f t="shared" si="11"/>
        <v>0</v>
      </c>
      <c r="N70" s="518">
        <f t="shared" si="12"/>
        <v>0</v>
      </c>
      <c r="O70" s="64"/>
      <c r="P70" s="503">
        <f t="shared" si="56"/>
        <v>0</v>
      </c>
      <c r="Q70" s="503">
        <f t="shared" si="56"/>
        <v>0</v>
      </c>
      <c r="R70" s="503">
        <f t="shared" si="56"/>
        <v>0</v>
      </c>
      <c r="S70" s="503">
        <f t="shared" si="58"/>
        <v>0</v>
      </c>
      <c r="T70" s="514">
        <f t="shared" si="53"/>
        <v>0</v>
      </c>
      <c r="U70" s="64"/>
      <c r="V70" s="690">
        <f t="shared" si="18"/>
        <v>0</v>
      </c>
      <c r="W70" s="494"/>
      <c r="X70" s="494"/>
    </row>
    <row r="71" spans="1:24" x14ac:dyDescent="0.25">
      <c r="A71" s="527" t="s">
        <v>319</v>
      </c>
      <c r="B71" s="533" t="s">
        <v>320</v>
      </c>
      <c r="C71" s="132"/>
      <c r="D71" s="64"/>
      <c r="E71" s="132"/>
      <c r="F71" s="132"/>
      <c r="G71" s="132"/>
      <c r="H71" s="132"/>
      <c r="I71" s="132"/>
      <c r="J71" s="132"/>
      <c r="K71" s="132"/>
      <c r="L71" s="518">
        <f t="shared" si="10"/>
        <v>0</v>
      </c>
      <c r="M71" s="518">
        <f t="shared" si="11"/>
        <v>0</v>
      </c>
      <c r="N71" s="518">
        <f t="shared" si="12"/>
        <v>0</v>
      </c>
      <c r="O71" s="132"/>
      <c r="P71" s="503">
        <f t="shared" si="56"/>
        <v>0</v>
      </c>
      <c r="Q71" s="503">
        <f t="shared" si="56"/>
        <v>0</v>
      </c>
      <c r="R71" s="503">
        <f t="shared" si="56"/>
        <v>0</v>
      </c>
      <c r="S71" s="503">
        <f t="shared" si="58"/>
        <v>0</v>
      </c>
      <c r="T71" s="514">
        <f t="shared" si="53"/>
        <v>0</v>
      </c>
      <c r="U71" s="132"/>
      <c r="V71" s="690">
        <f t="shared" si="18"/>
        <v>0</v>
      </c>
      <c r="W71" s="494"/>
      <c r="X71" s="494"/>
    </row>
    <row r="72" spans="1:24" x14ac:dyDescent="0.25">
      <c r="A72" s="512" t="s">
        <v>321</v>
      </c>
      <c r="B72" s="513" t="s">
        <v>322</v>
      </c>
      <c r="C72" s="130">
        <f t="shared" ref="C72" si="59">SUM(C73:C75)</f>
        <v>0</v>
      </c>
      <c r="D72" s="130">
        <f>SUM(D73:D75)</f>
        <v>240000</v>
      </c>
      <c r="E72" s="130">
        <f>SUM(E73:E75)</f>
        <v>240000</v>
      </c>
      <c r="F72" s="130">
        <f>SUM(F73:F75)</f>
        <v>240000</v>
      </c>
      <c r="G72" s="130"/>
      <c r="H72" s="130">
        <f>SUM(H73:H75)</f>
        <v>40000</v>
      </c>
      <c r="I72" s="130">
        <f>SUM(I73:I75)</f>
        <v>60000</v>
      </c>
      <c r="J72" s="540">
        <f>SUM(J73:J75)</f>
        <v>60000</v>
      </c>
      <c r="K72" s="540"/>
      <c r="L72" s="541">
        <f t="shared" si="10"/>
        <v>0.16666666666666666</v>
      </c>
      <c r="M72" s="541">
        <f t="shared" si="11"/>
        <v>0.25</v>
      </c>
      <c r="N72" s="541">
        <f t="shared" si="12"/>
        <v>0.25</v>
      </c>
      <c r="O72" s="540"/>
      <c r="P72" s="540">
        <f t="shared" ref="P72:S72" si="60">SUM(P73:P75)</f>
        <v>240000</v>
      </c>
      <c r="Q72" s="130">
        <f t="shared" si="60"/>
        <v>0</v>
      </c>
      <c r="R72" s="130">
        <f t="shared" si="60"/>
        <v>0</v>
      </c>
      <c r="S72" s="130">
        <f t="shared" si="60"/>
        <v>240000</v>
      </c>
      <c r="T72" s="514">
        <f t="shared" si="53"/>
        <v>0</v>
      </c>
      <c r="U72" s="130"/>
      <c r="V72" s="690">
        <f t="shared" si="18"/>
        <v>0</v>
      </c>
      <c r="W72" s="494"/>
      <c r="X72" s="494"/>
    </row>
    <row r="73" spans="1:24" ht="26.1" customHeight="1" x14ac:dyDescent="0.25">
      <c r="A73" s="527" t="s">
        <v>323</v>
      </c>
      <c r="B73" s="533" t="s">
        <v>324</v>
      </c>
      <c r="C73" s="132"/>
      <c r="D73" s="64"/>
      <c r="E73" s="132"/>
      <c r="F73" s="132"/>
      <c r="G73" s="132"/>
      <c r="H73" s="132"/>
      <c r="I73" s="132"/>
      <c r="J73" s="132"/>
      <c r="K73" s="132"/>
      <c r="L73" s="518">
        <f t="shared" si="10"/>
        <v>0</v>
      </c>
      <c r="M73" s="518">
        <f t="shared" si="11"/>
        <v>0</v>
      </c>
      <c r="N73" s="518">
        <f t="shared" si="12"/>
        <v>0</v>
      </c>
      <c r="O73" s="132"/>
      <c r="P73" s="503">
        <f t="shared" ref="P73:R75" si="61">+(D73-C73)*P$8</f>
        <v>0</v>
      </c>
      <c r="Q73" s="503">
        <f t="shared" si="61"/>
        <v>0</v>
      </c>
      <c r="R73" s="503">
        <f t="shared" si="61"/>
        <v>0</v>
      </c>
      <c r="S73" s="503">
        <f t="shared" ref="S73:S75" si="62">SUM(P73:R73)</f>
        <v>0</v>
      </c>
      <c r="T73" s="514">
        <f t="shared" si="53"/>
        <v>0</v>
      </c>
      <c r="U73" s="132"/>
      <c r="V73" s="690">
        <f t="shared" si="18"/>
        <v>0</v>
      </c>
      <c r="W73" s="494"/>
      <c r="X73" s="494"/>
    </row>
    <row r="74" spans="1:24" ht="26.1" customHeight="1" x14ac:dyDescent="0.25">
      <c r="A74" s="527" t="s">
        <v>325</v>
      </c>
      <c r="B74" s="533" t="s">
        <v>326</v>
      </c>
      <c r="C74" s="132"/>
      <c r="D74" s="64"/>
      <c r="E74" s="132"/>
      <c r="F74" s="132"/>
      <c r="G74" s="132"/>
      <c r="H74" s="132"/>
      <c r="I74" s="132"/>
      <c r="J74" s="132"/>
      <c r="K74" s="132"/>
      <c r="L74" s="518">
        <f t="shared" si="10"/>
        <v>0</v>
      </c>
      <c r="M74" s="518">
        <f t="shared" si="11"/>
        <v>0</v>
      </c>
      <c r="N74" s="518">
        <f t="shared" si="12"/>
        <v>0</v>
      </c>
      <c r="O74" s="132"/>
      <c r="P74" s="503">
        <f t="shared" si="61"/>
        <v>0</v>
      </c>
      <c r="Q74" s="503">
        <f t="shared" si="61"/>
        <v>0</v>
      </c>
      <c r="R74" s="503">
        <f t="shared" si="61"/>
        <v>0</v>
      </c>
      <c r="S74" s="503">
        <f t="shared" si="62"/>
        <v>0</v>
      </c>
      <c r="T74" s="514">
        <f t="shared" si="53"/>
        <v>0</v>
      </c>
      <c r="U74" s="132"/>
      <c r="V74" s="690">
        <f t="shared" si="18"/>
        <v>0</v>
      </c>
      <c r="W74" s="494"/>
      <c r="X74" s="494"/>
    </row>
    <row r="75" spans="1:24" ht="26.4" x14ac:dyDescent="0.25">
      <c r="A75" s="534" t="s">
        <v>467</v>
      </c>
      <c r="B75" s="532" t="s">
        <v>401</v>
      </c>
      <c r="C75" s="132">
        <v>0</v>
      </c>
      <c r="D75" s="64">
        <v>240000</v>
      </c>
      <c r="E75" s="64">
        <v>240000</v>
      </c>
      <c r="F75" s="64">
        <v>240000</v>
      </c>
      <c r="G75" s="64"/>
      <c r="H75" s="64">
        <v>40000</v>
      </c>
      <c r="I75" s="64">
        <v>60000</v>
      </c>
      <c r="J75" s="64">
        <v>60000</v>
      </c>
      <c r="K75" s="64"/>
      <c r="L75" s="518">
        <f t="shared" si="10"/>
        <v>0.16666666666666666</v>
      </c>
      <c r="M75" s="518">
        <f t="shared" si="11"/>
        <v>0.25</v>
      </c>
      <c r="N75" s="518">
        <f t="shared" si="12"/>
        <v>0.25</v>
      </c>
      <c r="O75" s="64"/>
      <c r="P75" s="503">
        <f t="shared" si="61"/>
        <v>240000</v>
      </c>
      <c r="Q75" s="503">
        <f t="shared" si="61"/>
        <v>0</v>
      </c>
      <c r="R75" s="503">
        <f t="shared" si="61"/>
        <v>0</v>
      </c>
      <c r="S75" s="503">
        <f t="shared" si="62"/>
        <v>240000</v>
      </c>
      <c r="T75" s="514">
        <f t="shared" si="53"/>
        <v>0</v>
      </c>
      <c r="U75" s="64"/>
      <c r="V75" s="690">
        <f t="shared" si="18"/>
        <v>0</v>
      </c>
      <c r="W75" s="494"/>
      <c r="X75" s="494"/>
    </row>
    <row r="76" spans="1:24" x14ac:dyDescent="0.25">
      <c r="A76" s="512" t="s">
        <v>328</v>
      </c>
      <c r="B76" s="513" t="s">
        <v>329</v>
      </c>
      <c r="C76" s="130">
        <f>SUM(C77:C78)</f>
        <v>0</v>
      </c>
      <c r="D76" s="130">
        <f>+D77+D78+D79</f>
        <v>373750</v>
      </c>
      <c r="E76" s="130">
        <f>SUM(E77:E79)</f>
        <v>373750</v>
      </c>
      <c r="F76" s="130">
        <f>SUM(F77:F79)</f>
        <v>623750</v>
      </c>
      <c r="G76" s="130"/>
      <c r="H76" s="130">
        <f>+H77+H78+H79</f>
        <v>373750</v>
      </c>
      <c r="I76" s="130">
        <f>SUM(I77:I79)</f>
        <v>593750</v>
      </c>
      <c r="J76" s="540">
        <f>SUM(J77:J79)</f>
        <v>643750</v>
      </c>
      <c r="K76" s="540"/>
      <c r="L76" s="541">
        <f t="shared" si="10"/>
        <v>1</v>
      </c>
      <c r="M76" s="541">
        <f t="shared" si="11"/>
        <v>1.5886287625418061</v>
      </c>
      <c r="N76" s="541">
        <f t="shared" si="12"/>
        <v>1.0320641282565131</v>
      </c>
      <c r="O76" s="540"/>
      <c r="P76" s="540">
        <f t="shared" ref="P76:S76" si="63">+P77+P78+P79</f>
        <v>373750</v>
      </c>
      <c r="Q76" s="130">
        <f t="shared" si="63"/>
        <v>0</v>
      </c>
      <c r="R76" s="130">
        <f t="shared" si="63"/>
        <v>250000</v>
      </c>
      <c r="S76" s="130">
        <f t="shared" si="63"/>
        <v>623750</v>
      </c>
      <c r="T76" s="514">
        <f t="shared" si="53"/>
        <v>0</v>
      </c>
      <c r="U76" s="130"/>
      <c r="V76" s="690">
        <f t="shared" si="18"/>
        <v>0</v>
      </c>
      <c r="W76" s="494"/>
      <c r="X76" s="494"/>
    </row>
    <row r="77" spans="1:24" ht="40.200000000000003" customHeight="1" x14ac:dyDescent="0.25">
      <c r="A77" s="527" t="s">
        <v>330</v>
      </c>
      <c r="B77" s="533" t="s">
        <v>331</v>
      </c>
      <c r="C77" s="132"/>
      <c r="D77" s="64"/>
      <c r="E77" s="132"/>
      <c r="F77" s="132"/>
      <c r="G77" s="132"/>
      <c r="H77" s="132"/>
      <c r="I77" s="132"/>
      <c r="J77" s="132"/>
      <c r="K77" s="132"/>
      <c r="L77" s="518">
        <f t="shared" si="10"/>
        <v>0</v>
      </c>
      <c r="M77" s="518">
        <f t="shared" si="11"/>
        <v>0</v>
      </c>
      <c r="N77" s="518">
        <f t="shared" si="12"/>
        <v>0</v>
      </c>
      <c r="O77" s="132"/>
      <c r="P77" s="503">
        <f t="shared" ref="P77:R79" si="64">+(D77-C77)*P$8</f>
        <v>0</v>
      </c>
      <c r="Q77" s="503">
        <f t="shared" si="64"/>
        <v>0</v>
      </c>
      <c r="R77" s="503">
        <f t="shared" si="64"/>
        <v>0</v>
      </c>
      <c r="S77" s="503">
        <f t="shared" ref="S77:S79" si="65">SUM(P77:R77)</f>
        <v>0</v>
      </c>
      <c r="T77" s="514">
        <f t="shared" si="53"/>
        <v>0</v>
      </c>
      <c r="U77" s="132"/>
      <c r="V77" s="690">
        <f t="shared" si="18"/>
        <v>0</v>
      </c>
      <c r="W77" s="494"/>
      <c r="X77" s="494"/>
    </row>
    <row r="78" spans="1:24" ht="24" customHeight="1" x14ac:dyDescent="0.25">
      <c r="A78" s="527" t="s">
        <v>332</v>
      </c>
      <c r="B78" s="533" t="s">
        <v>333</v>
      </c>
      <c r="C78" s="132"/>
      <c r="D78" s="64"/>
      <c r="E78" s="132"/>
      <c r="F78" s="132"/>
      <c r="G78" s="132"/>
      <c r="H78" s="132"/>
      <c r="I78" s="132"/>
      <c r="J78" s="132"/>
      <c r="K78" s="132"/>
      <c r="L78" s="518">
        <f t="shared" ref="L78:L96" si="66">IF(D78=0,0,H78/D78)</f>
        <v>0</v>
      </c>
      <c r="M78" s="518">
        <f t="shared" ref="M78:M96" si="67">IF(E78=0,0,I78/E78)</f>
        <v>0</v>
      </c>
      <c r="N78" s="518">
        <f t="shared" ref="N78:N96" si="68">IF(F78=0,0,J78/F78)</f>
        <v>0</v>
      </c>
      <c r="O78" s="132"/>
      <c r="P78" s="503">
        <f t="shared" si="64"/>
        <v>0</v>
      </c>
      <c r="Q78" s="503">
        <f t="shared" si="64"/>
        <v>0</v>
      </c>
      <c r="R78" s="503">
        <f t="shared" si="64"/>
        <v>0</v>
      </c>
      <c r="S78" s="503">
        <f t="shared" si="65"/>
        <v>0</v>
      </c>
      <c r="T78" s="514">
        <f t="shared" si="53"/>
        <v>0</v>
      </c>
      <c r="U78" s="132"/>
      <c r="V78" s="690">
        <f t="shared" ref="V78:V96" si="69">+S78-F78+C78</f>
        <v>0</v>
      </c>
      <c r="W78" s="494"/>
      <c r="X78" s="494"/>
    </row>
    <row r="79" spans="1:24" x14ac:dyDescent="0.25">
      <c r="A79" s="527" t="s">
        <v>388</v>
      </c>
      <c r="B79" s="527" t="s">
        <v>334</v>
      </c>
      <c r="C79" s="132">
        <v>0</v>
      </c>
      <c r="D79" s="64">
        <f>60000+313750</f>
        <v>373750</v>
      </c>
      <c r="E79" s="166">
        <f>313750+60000</f>
        <v>373750</v>
      </c>
      <c r="F79" s="64">
        <f>60000+563750</f>
        <v>623750</v>
      </c>
      <c r="G79" s="64"/>
      <c r="H79" s="64">
        <f>60000+313750</f>
        <v>373750</v>
      </c>
      <c r="I79" s="64">
        <f>513750+80000</f>
        <v>593750</v>
      </c>
      <c r="J79" s="64">
        <f>80000+563750</f>
        <v>643750</v>
      </c>
      <c r="K79" s="64"/>
      <c r="L79" s="518">
        <f t="shared" si="66"/>
        <v>1</v>
      </c>
      <c r="M79" s="518">
        <f t="shared" si="67"/>
        <v>1.5886287625418061</v>
      </c>
      <c r="N79" s="518">
        <f t="shared" si="68"/>
        <v>1.0320641282565131</v>
      </c>
      <c r="O79" s="64"/>
      <c r="P79" s="503">
        <f t="shared" si="64"/>
        <v>373750</v>
      </c>
      <c r="Q79" s="503">
        <f t="shared" si="64"/>
        <v>0</v>
      </c>
      <c r="R79" s="503">
        <f t="shared" si="64"/>
        <v>250000</v>
      </c>
      <c r="S79" s="503">
        <f t="shared" si="65"/>
        <v>623750</v>
      </c>
      <c r="T79" s="514">
        <f t="shared" si="53"/>
        <v>0</v>
      </c>
      <c r="U79" s="64"/>
      <c r="V79" s="690">
        <f t="shared" si="69"/>
        <v>0</v>
      </c>
      <c r="W79" s="494"/>
      <c r="X79" s="494"/>
    </row>
    <row r="80" spans="1:24" x14ac:dyDescent="0.25">
      <c r="A80" s="512" t="s">
        <v>335</v>
      </c>
      <c r="B80" s="513" t="s">
        <v>336</v>
      </c>
      <c r="C80" s="130">
        <f>SUM(C81:C95)</f>
        <v>462274594</v>
      </c>
      <c r="D80" s="130">
        <f>SUM(D81:D94)</f>
        <v>462274594</v>
      </c>
      <c r="E80" s="130">
        <f>SUM(E81:E95)</f>
        <v>462274594</v>
      </c>
      <c r="F80" s="130">
        <f>SUM(F81:F95)</f>
        <v>462274594</v>
      </c>
      <c r="G80" s="130"/>
      <c r="H80" s="130">
        <f t="shared" ref="H80" si="70">SUM(H81:H94)</f>
        <v>444274594</v>
      </c>
      <c r="I80" s="130">
        <f>SUM(I81:I95)</f>
        <v>444274594</v>
      </c>
      <c r="J80" s="540">
        <f>SUM(J81:J95)</f>
        <v>462193342</v>
      </c>
      <c r="K80" s="540"/>
      <c r="L80" s="541">
        <f t="shared" si="66"/>
        <v>0.96106210413977455</v>
      </c>
      <c r="M80" s="541">
        <f t="shared" si="67"/>
        <v>0.96106210413977455</v>
      </c>
      <c r="N80" s="541">
        <f t="shared" si="68"/>
        <v>0.99982423433808698</v>
      </c>
      <c r="O80" s="540"/>
      <c r="P80" s="540">
        <f t="shared" ref="P80:S80" si="71">SUM(P81:P94)</f>
        <v>0</v>
      </c>
      <c r="Q80" s="130">
        <f t="shared" si="71"/>
        <v>0</v>
      </c>
      <c r="R80" s="130">
        <f t="shared" si="71"/>
        <v>0</v>
      </c>
      <c r="S80" s="130">
        <f t="shared" si="71"/>
        <v>0</v>
      </c>
      <c r="T80" s="514">
        <f t="shared" si="53"/>
        <v>0</v>
      </c>
      <c r="U80" s="130"/>
      <c r="V80" s="690">
        <f t="shared" si="69"/>
        <v>0</v>
      </c>
      <c r="W80" s="494"/>
      <c r="X80" s="494"/>
    </row>
    <row r="81" spans="1:24" x14ac:dyDescent="0.25">
      <c r="A81" s="527" t="s">
        <v>337</v>
      </c>
      <c r="B81" s="533" t="s">
        <v>338</v>
      </c>
      <c r="C81" s="132"/>
      <c r="D81" s="64"/>
      <c r="E81" s="132"/>
      <c r="F81" s="132"/>
      <c r="G81" s="132"/>
      <c r="H81" s="132"/>
      <c r="I81" s="132"/>
      <c r="J81" s="132"/>
      <c r="K81" s="132"/>
      <c r="L81" s="518">
        <f t="shared" si="66"/>
        <v>0</v>
      </c>
      <c r="M81" s="518">
        <f t="shared" si="67"/>
        <v>0</v>
      </c>
      <c r="N81" s="518">
        <f t="shared" si="68"/>
        <v>0</v>
      </c>
      <c r="O81" s="132"/>
      <c r="P81" s="503">
        <f t="shared" ref="P81:P95" si="72">+(D81-C81)*P$8</f>
        <v>0</v>
      </c>
      <c r="Q81" s="503">
        <f t="shared" ref="Q81:Q95" si="73">+(E81-D81)*Q$8</f>
        <v>0</v>
      </c>
      <c r="R81" s="503">
        <f t="shared" ref="R81:R95" si="74">+(F81-E81)*R$8</f>
        <v>0</v>
      </c>
      <c r="S81" s="503">
        <f t="shared" ref="S81:S95" si="75">SUM(P81:R81)</f>
        <v>0</v>
      </c>
      <c r="T81" s="514">
        <f t="shared" si="53"/>
        <v>0</v>
      </c>
      <c r="U81" s="132"/>
      <c r="V81" s="690">
        <f t="shared" si="69"/>
        <v>0</v>
      </c>
      <c r="W81" s="494"/>
      <c r="X81" s="494"/>
    </row>
    <row r="82" spans="1:24" ht="26.4" x14ac:dyDescent="0.25">
      <c r="A82" s="527" t="s">
        <v>339</v>
      </c>
      <c r="B82" s="533" t="s">
        <v>340</v>
      </c>
      <c r="C82" s="132"/>
      <c r="D82" s="64"/>
      <c r="E82" s="132"/>
      <c r="F82" s="132"/>
      <c r="G82" s="132"/>
      <c r="H82" s="132"/>
      <c r="I82" s="132"/>
      <c r="J82" s="132"/>
      <c r="K82" s="132"/>
      <c r="L82" s="518">
        <f t="shared" si="66"/>
        <v>0</v>
      </c>
      <c r="M82" s="518">
        <f t="shared" si="67"/>
        <v>0</v>
      </c>
      <c r="N82" s="518">
        <f t="shared" si="68"/>
        <v>0</v>
      </c>
      <c r="O82" s="132"/>
      <c r="P82" s="503">
        <f t="shared" si="72"/>
        <v>0</v>
      </c>
      <c r="Q82" s="503">
        <f t="shared" si="73"/>
        <v>0</v>
      </c>
      <c r="R82" s="503">
        <f t="shared" si="74"/>
        <v>0</v>
      </c>
      <c r="S82" s="503">
        <f t="shared" si="75"/>
        <v>0</v>
      </c>
      <c r="T82" s="514">
        <f t="shared" si="53"/>
        <v>0</v>
      </c>
      <c r="U82" s="132"/>
      <c r="V82" s="690">
        <f t="shared" si="69"/>
        <v>0</v>
      </c>
      <c r="W82" s="494"/>
      <c r="X82" s="494"/>
    </row>
    <row r="83" spans="1:24" x14ac:dyDescent="0.25">
      <c r="A83" s="508" t="s">
        <v>341</v>
      </c>
      <c r="B83" s="519" t="s">
        <v>342</v>
      </c>
      <c r="C83" s="132"/>
      <c r="D83" s="64"/>
      <c r="E83" s="132"/>
      <c r="F83" s="132"/>
      <c r="G83" s="132"/>
      <c r="H83" s="132"/>
      <c r="I83" s="132"/>
      <c r="J83" s="132"/>
      <c r="K83" s="132"/>
      <c r="L83" s="518">
        <f t="shared" si="66"/>
        <v>0</v>
      </c>
      <c r="M83" s="518">
        <f t="shared" si="67"/>
        <v>0</v>
      </c>
      <c r="N83" s="518">
        <f t="shared" si="68"/>
        <v>0</v>
      </c>
      <c r="O83" s="132"/>
      <c r="P83" s="503">
        <f t="shared" si="72"/>
        <v>0</v>
      </c>
      <c r="Q83" s="503">
        <f t="shared" si="73"/>
        <v>0</v>
      </c>
      <c r="R83" s="503">
        <f t="shared" si="74"/>
        <v>0</v>
      </c>
      <c r="S83" s="503">
        <f t="shared" si="75"/>
        <v>0</v>
      </c>
      <c r="T83" s="514">
        <f t="shared" si="53"/>
        <v>0</v>
      </c>
      <c r="U83" s="132"/>
      <c r="V83" s="690">
        <f t="shared" si="69"/>
        <v>0</v>
      </c>
      <c r="W83" s="494"/>
      <c r="X83" s="494"/>
    </row>
    <row r="84" spans="1:24" ht="14.25" customHeight="1" x14ac:dyDescent="0.25">
      <c r="A84" s="508" t="s">
        <v>343</v>
      </c>
      <c r="B84" s="519" t="s">
        <v>344</v>
      </c>
      <c r="C84" s="132"/>
      <c r="D84" s="64"/>
      <c r="E84" s="132"/>
      <c r="F84" s="132"/>
      <c r="G84" s="132"/>
      <c r="H84" s="132"/>
      <c r="I84" s="132"/>
      <c r="J84" s="132"/>
      <c r="K84" s="132"/>
      <c r="L84" s="518">
        <f t="shared" si="66"/>
        <v>0</v>
      </c>
      <c r="M84" s="518">
        <f t="shared" si="67"/>
        <v>0</v>
      </c>
      <c r="N84" s="518">
        <f t="shared" si="68"/>
        <v>0</v>
      </c>
      <c r="O84" s="132"/>
      <c r="P84" s="503">
        <f t="shared" si="72"/>
        <v>0</v>
      </c>
      <c r="Q84" s="503">
        <f t="shared" si="73"/>
        <v>0</v>
      </c>
      <c r="R84" s="503">
        <f t="shared" si="74"/>
        <v>0</v>
      </c>
      <c r="S84" s="503">
        <f t="shared" si="75"/>
        <v>0</v>
      </c>
      <c r="T84" s="514">
        <f t="shared" si="53"/>
        <v>0</v>
      </c>
      <c r="U84" s="132"/>
      <c r="V84" s="690">
        <f t="shared" si="69"/>
        <v>0</v>
      </c>
      <c r="W84" s="494"/>
      <c r="X84" s="494"/>
    </row>
    <row r="85" spans="1:24" x14ac:dyDescent="0.25">
      <c r="A85" s="508" t="s">
        <v>345</v>
      </c>
      <c r="B85" s="519" t="s">
        <v>346</v>
      </c>
      <c r="C85" s="132"/>
      <c r="D85" s="64"/>
      <c r="E85" s="132"/>
      <c r="F85" s="132"/>
      <c r="G85" s="132"/>
      <c r="H85" s="132"/>
      <c r="I85" s="132"/>
      <c r="J85" s="132"/>
      <c r="K85" s="132"/>
      <c r="L85" s="518">
        <f t="shared" si="66"/>
        <v>0</v>
      </c>
      <c r="M85" s="518">
        <f t="shared" si="67"/>
        <v>0</v>
      </c>
      <c r="N85" s="518">
        <f t="shared" si="68"/>
        <v>0</v>
      </c>
      <c r="O85" s="132"/>
      <c r="P85" s="503">
        <f t="shared" si="72"/>
        <v>0</v>
      </c>
      <c r="Q85" s="503">
        <f t="shared" si="73"/>
        <v>0</v>
      </c>
      <c r="R85" s="503">
        <f t="shared" si="74"/>
        <v>0</v>
      </c>
      <c r="S85" s="503">
        <f t="shared" si="75"/>
        <v>0</v>
      </c>
      <c r="T85" s="514">
        <f t="shared" si="53"/>
        <v>0</v>
      </c>
      <c r="U85" s="132"/>
      <c r="V85" s="690">
        <f t="shared" si="69"/>
        <v>0</v>
      </c>
      <c r="W85" s="494"/>
      <c r="X85" s="494"/>
    </row>
    <row r="86" spans="1:24" x14ac:dyDescent="0.25">
      <c r="A86" s="527" t="s">
        <v>347</v>
      </c>
      <c r="B86" s="533" t="s">
        <v>348</v>
      </c>
      <c r="C86" s="132"/>
      <c r="D86" s="64"/>
      <c r="E86" s="132"/>
      <c r="F86" s="132"/>
      <c r="G86" s="132"/>
      <c r="H86" s="132"/>
      <c r="I86" s="132"/>
      <c r="J86" s="132"/>
      <c r="K86" s="132"/>
      <c r="L86" s="518">
        <f t="shared" si="66"/>
        <v>0</v>
      </c>
      <c r="M86" s="518">
        <f t="shared" si="67"/>
        <v>0</v>
      </c>
      <c r="N86" s="518">
        <f t="shared" si="68"/>
        <v>0</v>
      </c>
      <c r="O86" s="132"/>
      <c r="P86" s="503">
        <f t="shared" si="72"/>
        <v>0</v>
      </c>
      <c r="Q86" s="503">
        <f t="shared" si="73"/>
        <v>0</v>
      </c>
      <c r="R86" s="503">
        <f t="shared" si="74"/>
        <v>0</v>
      </c>
      <c r="S86" s="503">
        <f t="shared" si="75"/>
        <v>0</v>
      </c>
      <c r="T86" s="514">
        <f t="shared" si="53"/>
        <v>0</v>
      </c>
      <c r="U86" s="132"/>
      <c r="V86" s="690">
        <f t="shared" si="69"/>
        <v>0</v>
      </c>
      <c r="W86" s="494"/>
      <c r="X86" s="494"/>
    </row>
    <row r="87" spans="1:24" x14ac:dyDescent="0.25">
      <c r="A87" s="527" t="s">
        <v>349</v>
      </c>
      <c r="B87" s="533" t="s">
        <v>350</v>
      </c>
      <c r="C87" s="132">
        <v>0</v>
      </c>
      <c r="D87" s="64">
        <v>0</v>
      </c>
      <c r="E87" s="166">
        <v>0</v>
      </c>
      <c r="F87" s="64"/>
      <c r="G87" s="64"/>
      <c r="H87" s="64">
        <v>0</v>
      </c>
      <c r="I87" s="64">
        <v>0</v>
      </c>
      <c r="J87" s="64"/>
      <c r="K87" s="64"/>
      <c r="L87" s="518">
        <f t="shared" si="66"/>
        <v>0</v>
      </c>
      <c r="M87" s="518">
        <f t="shared" si="67"/>
        <v>0</v>
      </c>
      <c r="N87" s="518">
        <f t="shared" si="68"/>
        <v>0</v>
      </c>
      <c r="O87" s="64"/>
      <c r="P87" s="503">
        <f t="shared" si="72"/>
        <v>0</v>
      </c>
      <c r="Q87" s="535">
        <f t="shared" si="73"/>
        <v>0</v>
      </c>
      <c r="R87" s="503">
        <f t="shared" si="74"/>
        <v>0</v>
      </c>
      <c r="S87" s="503">
        <f t="shared" si="75"/>
        <v>0</v>
      </c>
      <c r="T87" s="514">
        <f t="shared" si="53"/>
        <v>0</v>
      </c>
      <c r="U87" s="64"/>
      <c r="V87" s="690">
        <f t="shared" si="69"/>
        <v>0</v>
      </c>
      <c r="W87" s="494"/>
      <c r="X87" s="494"/>
    </row>
    <row r="88" spans="1:24" ht="26.4" x14ac:dyDescent="0.25">
      <c r="A88" s="508" t="s">
        <v>351</v>
      </c>
      <c r="B88" s="519" t="s">
        <v>352</v>
      </c>
      <c r="C88" s="132">
        <v>444274594</v>
      </c>
      <c r="D88" s="536">
        <v>444274594</v>
      </c>
      <c r="E88" s="132">
        <v>444274594</v>
      </c>
      <c r="F88" s="132">
        <v>444274594</v>
      </c>
      <c r="G88" s="132"/>
      <c r="H88" s="536">
        <v>444274594</v>
      </c>
      <c r="I88" s="132">
        <v>444274594</v>
      </c>
      <c r="J88" s="132">
        <v>444274594</v>
      </c>
      <c r="K88" s="132"/>
      <c r="L88" s="518">
        <f t="shared" si="66"/>
        <v>1</v>
      </c>
      <c r="M88" s="518">
        <f t="shared" si="67"/>
        <v>1</v>
      </c>
      <c r="N88" s="518">
        <f t="shared" si="68"/>
        <v>1</v>
      </c>
      <c r="O88" s="132"/>
      <c r="P88" s="503">
        <f t="shared" si="72"/>
        <v>0</v>
      </c>
      <c r="Q88" s="503">
        <f t="shared" si="73"/>
        <v>0</v>
      </c>
      <c r="R88" s="503">
        <f t="shared" si="74"/>
        <v>0</v>
      </c>
      <c r="S88" s="503">
        <f t="shared" si="75"/>
        <v>0</v>
      </c>
      <c r="T88" s="514">
        <f t="shared" si="53"/>
        <v>0</v>
      </c>
      <c r="U88" s="132"/>
      <c r="V88" s="690">
        <f t="shared" si="69"/>
        <v>0</v>
      </c>
      <c r="W88" s="494"/>
      <c r="X88" s="494"/>
    </row>
    <row r="89" spans="1:24" ht="26.4" x14ac:dyDescent="0.25">
      <c r="A89" s="508" t="s">
        <v>353</v>
      </c>
      <c r="B89" s="519" t="s">
        <v>354</v>
      </c>
      <c r="C89" s="132"/>
      <c r="D89" s="64"/>
      <c r="E89" s="132"/>
      <c r="F89" s="132"/>
      <c r="G89" s="132"/>
      <c r="H89" s="132"/>
      <c r="I89" s="132"/>
      <c r="J89" s="132"/>
      <c r="K89" s="132"/>
      <c r="L89" s="518">
        <f t="shared" si="66"/>
        <v>0</v>
      </c>
      <c r="M89" s="518">
        <f t="shared" si="67"/>
        <v>0</v>
      </c>
      <c r="N89" s="518">
        <f t="shared" si="68"/>
        <v>0</v>
      </c>
      <c r="O89" s="132"/>
      <c r="P89" s="503">
        <f t="shared" si="72"/>
        <v>0</v>
      </c>
      <c r="Q89" s="503">
        <f t="shared" si="73"/>
        <v>0</v>
      </c>
      <c r="R89" s="503">
        <f t="shared" si="74"/>
        <v>0</v>
      </c>
      <c r="S89" s="503">
        <f t="shared" si="75"/>
        <v>0</v>
      </c>
      <c r="T89" s="514">
        <f t="shared" si="53"/>
        <v>0</v>
      </c>
      <c r="U89" s="132"/>
      <c r="V89" s="690">
        <f t="shared" si="69"/>
        <v>0</v>
      </c>
      <c r="W89" s="494"/>
      <c r="X89" s="494"/>
    </row>
    <row r="90" spans="1:24" x14ac:dyDescent="0.25">
      <c r="A90" s="527" t="s">
        <v>355</v>
      </c>
      <c r="B90" s="533" t="s">
        <v>356</v>
      </c>
      <c r="C90" s="170">
        <v>18000000</v>
      </c>
      <c r="D90" s="64">
        <v>18000000</v>
      </c>
      <c r="E90" s="132">
        <v>18000000</v>
      </c>
      <c r="F90" s="132">
        <v>18000000</v>
      </c>
      <c r="G90" s="132"/>
      <c r="H90" s="132"/>
      <c r="I90" s="132"/>
      <c r="J90" s="132">
        <v>17918748</v>
      </c>
      <c r="K90" s="132"/>
      <c r="L90" s="518">
        <f t="shared" si="66"/>
        <v>0</v>
      </c>
      <c r="M90" s="518">
        <f t="shared" si="67"/>
        <v>0</v>
      </c>
      <c r="N90" s="518">
        <f t="shared" si="68"/>
        <v>0.99548599999999998</v>
      </c>
      <c r="O90" s="132"/>
      <c r="P90" s="503">
        <f t="shared" si="72"/>
        <v>0</v>
      </c>
      <c r="Q90" s="503">
        <f t="shared" si="73"/>
        <v>0</v>
      </c>
      <c r="R90" s="503">
        <f t="shared" si="74"/>
        <v>0</v>
      </c>
      <c r="S90" s="503">
        <f t="shared" si="75"/>
        <v>0</v>
      </c>
      <c r="T90" s="514">
        <f t="shared" si="53"/>
        <v>0</v>
      </c>
      <c r="U90" s="132"/>
      <c r="V90" s="690">
        <f t="shared" si="69"/>
        <v>0</v>
      </c>
      <c r="W90" s="494"/>
      <c r="X90" s="494"/>
    </row>
    <row r="91" spans="1:24" ht="26.4" x14ac:dyDescent="0.25">
      <c r="A91" s="527" t="s">
        <v>357</v>
      </c>
      <c r="B91" s="533" t="s">
        <v>358</v>
      </c>
      <c r="C91" s="132"/>
      <c r="D91" s="64"/>
      <c r="E91" s="132"/>
      <c r="F91" s="132"/>
      <c r="G91" s="132"/>
      <c r="H91" s="132"/>
      <c r="I91" s="132"/>
      <c r="J91" s="132"/>
      <c r="K91" s="132"/>
      <c r="L91" s="518">
        <f t="shared" si="66"/>
        <v>0</v>
      </c>
      <c r="M91" s="518">
        <f t="shared" si="67"/>
        <v>0</v>
      </c>
      <c r="N91" s="518">
        <f t="shared" si="68"/>
        <v>0</v>
      </c>
      <c r="O91" s="132"/>
      <c r="P91" s="503">
        <f t="shared" si="72"/>
        <v>0</v>
      </c>
      <c r="Q91" s="503">
        <f t="shared" si="73"/>
        <v>0</v>
      </c>
      <c r="R91" s="503">
        <f t="shared" si="74"/>
        <v>0</v>
      </c>
      <c r="S91" s="503">
        <f t="shared" si="75"/>
        <v>0</v>
      </c>
      <c r="T91" s="514">
        <f t="shared" si="53"/>
        <v>0</v>
      </c>
      <c r="U91" s="132"/>
      <c r="V91" s="690">
        <f t="shared" si="69"/>
        <v>0</v>
      </c>
      <c r="W91" s="494"/>
      <c r="X91" s="494"/>
    </row>
    <row r="92" spans="1:24" x14ac:dyDescent="0.25">
      <c r="A92" s="527" t="s">
        <v>361</v>
      </c>
      <c r="B92" s="533" t="s">
        <v>359</v>
      </c>
      <c r="C92" s="132"/>
      <c r="D92" s="64"/>
      <c r="E92" s="132"/>
      <c r="F92" s="132"/>
      <c r="G92" s="132"/>
      <c r="H92" s="132"/>
      <c r="I92" s="132"/>
      <c r="J92" s="132"/>
      <c r="K92" s="132"/>
      <c r="L92" s="518">
        <f t="shared" si="66"/>
        <v>0</v>
      </c>
      <c r="M92" s="518">
        <f t="shared" si="67"/>
        <v>0</v>
      </c>
      <c r="N92" s="518">
        <f t="shared" si="68"/>
        <v>0</v>
      </c>
      <c r="O92" s="132"/>
      <c r="P92" s="503">
        <f t="shared" si="72"/>
        <v>0</v>
      </c>
      <c r="Q92" s="503">
        <f t="shared" si="73"/>
        <v>0</v>
      </c>
      <c r="R92" s="503">
        <f t="shared" si="74"/>
        <v>0</v>
      </c>
      <c r="S92" s="503">
        <f t="shared" si="75"/>
        <v>0</v>
      </c>
      <c r="T92" s="514">
        <f t="shared" si="53"/>
        <v>0</v>
      </c>
      <c r="U92" s="132"/>
      <c r="V92" s="690">
        <f t="shared" si="69"/>
        <v>0</v>
      </c>
      <c r="W92" s="494"/>
      <c r="X92" s="494"/>
    </row>
    <row r="93" spans="1:24" ht="26.4" x14ac:dyDescent="0.25">
      <c r="A93" s="527"/>
      <c r="B93" s="533" t="s">
        <v>360</v>
      </c>
      <c r="C93" s="132"/>
      <c r="D93" s="64"/>
      <c r="E93" s="132"/>
      <c r="F93" s="132"/>
      <c r="G93" s="132"/>
      <c r="H93" s="132"/>
      <c r="I93" s="132"/>
      <c r="J93" s="132"/>
      <c r="K93" s="132"/>
      <c r="L93" s="518">
        <f t="shared" si="66"/>
        <v>0</v>
      </c>
      <c r="M93" s="518">
        <f t="shared" si="67"/>
        <v>0</v>
      </c>
      <c r="N93" s="518">
        <f t="shared" si="68"/>
        <v>0</v>
      </c>
      <c r="O93" s="132"/>
      <c r="P93" s="503">
        <f t="shared" si="72"/>
        <v>0</v>
      </c>
      <c r="Q93" s="503">
        <f t="shared" si="73"/>
        <v>0</v>
      </c>
      <c r="R93" s="503">
        <f t="shared" si="74"/>
        <v>0</v>
      </c>
      <c r="S93" s="503">
        <f t="shared" si="75"/>
        <v>0</v>
      </c>
      <c r="T93" s="514">
        <f t="shared" si="53"/>
        <v>0</v>
      </c>
      <c r="U93" s="132"/>
      <c r="V93" s="690">
        <f t="shared" si="69"/>
        <v>0</v>
      </c>
      <c r="W93" s="494"/>
      <c r="X93" s="494"/>
    </row>
    <row r="94" spans="1:24" x14ac:dyDescent="0.25">
      <c r="A94" s="527" t="s">
        <v>362</v>
      </c>
      <c r="B94" s="533" t="s">
        <v>363</v>
      </c>
      <c r="C94" s="132">
        <v>0</v>
      </c>
      <c r="D94" s="64">
        <v>0</v>
      </c>
      <c r="E94" s="132"/>
      <c r="F94" s="132"/>
      <c r="G94" s="132"/>
      <c r="H94" s="132"/>
      <c r="I94" s="132"/>
      <c r="J94" s="132"/>
      <c r="K94" s="132"/>
      <c r="L94" s="518">
        <f t="shared" si="66"/>
        <v>0</v>
      </c>
      <c r="M94" s="518">
        <f t="shared" si="67"/>
        <v>0</v>
      </c>
      <c r="N94" s="518">
        <f t="shared" si="68"/>
        <v>0</v>
      </c>
      <c r="O94" s="132"/>
      <c r="P94" s="503">
        <f t="shared" si="72"/>
        <v>0</v>
      </c>
      <c r="Q94" s="503">
        <f t="shared" si="73"/>
        <v>0</v>
      </c>
      <c r="R94" s="503">
        <f t="shared" si="74"/>
        <v>0</v>
      </c>
      <c r="S94" s="503">
        <f t="shared" si="75"/>
        <v>0</v>
      </c>
      <c r="T94" s="514">
        <f t="shared" si="53"/>
        <v>0</v>
      </c>
      <c r="U94" s="132"/>
      <c r="V94" s="690">
        <f t="shared" si="69"/>
        <v>0</v>
      </c>
      <c r="W94" s="494"/>
      <c r="X94" s="494"/>
    </row>
    <row r="95" spans="1:24" x14ac:dyDescent="0.25">
      <c r="A95" s="527"/>
      <c r="B95" s="527"/>
      <c r="C95" s="132"/>
      <c r="D95" s="64"/>
      <c r="E95" s="132"/>
      <c r="F95" s="132"/>
      <c r="G95" s="132"/>
      <c r="H95" s="132"/>
      <c r="I95" s="132"/>
      <c r="J95" s="132"/>
      <c r="K95" s="132"/>
      <c r="L95" s="518">
        <f t="shared" si="66"/>
        <v>0</v>
      </c>
      <c r="M95" s="518">
        <f t="shared" si="67"/>
        <v>0</v>
      </c>
      <c r="N95" s="518">
        <f t="shared" si="68"/>
        <v>0</v>
      </c>
      <c r="O95" s="132"/>
      <c r="P95" s="503">
        <f t="shared" si="72"/>
        <v>0</v>
      </c>
      <c r="Q95" s="503">
        <f t="shared" si="73"/>
        <v>0</v>
      </c>
      <c r="R95" s="503">
        <f t="shared" si="74"/>
        <v>0</v>
      </c>
      <c r="S95" s="503">
        <f t="shared" si="75"/>
        <v>0</v>
      </c>
      <c r="T95" s="514">
        <f t="shared" si="53"/>
        <v>0</v>
      </c>
      <c r="U95" s="132"/>
      <c r="V95" s="690">
        <f t="shared" si="69"/>
        <v>0</v>
      </c>
      <c r="W95" s="494"/>
      <c r="X95" s="494"/>
    </row>
    <row r="96" spans="1:24" x14ac:dyDescent="0.25">
      <c r="A96" s="527"/>
      <c r="B96" s="513" t="s">
        <v>374</v>
      </c>
      <c r="C96" s="130">
        <f>C13+C30+C39+C50+C67+C72+C76+C80</f>
        <v>1700938440</v>
      </c>
      <c r="D96" s="130">
        <f>D13+D30+D39+D50+D67+D72+D76+D80</f>
        <v>1701880040</v>
      </c>
      <c r="E96" s="130">
        <f>E13+E30+E39+E50+E67+E72+E76+E80</f>
        <v>1751880040</v>
      </c>
      <c r="F96" s="130">
        <f>F13+F30+F39+F50+F67+F72+F76+F80</f>
        <v>1748653511</v>
      </c>
      <c r="G96" s="130"/>
      <c r="H96" s="130">
        <f>H13+H30+H39+H50+H67+H72+H76+H80</f>
        <v>1151048091</v>
      </c>
      <c r="I96" s="130">
        <f>I13+I30+I39+I50+I67+I72+I76+I80</f>
        <v>1414490178</v>
      </c>
      <c r="J96" s="130">
        <f>J13+J30+J39+J50+J67+J72+J76+J80</f>
        <v>1642230047</v>
      </c>
      <c r="K96" s="130"/>
      <c r="L96" s="514">
        <f t="shared" si="66"/>
        <v>0.67633914491411506</v>
      </c>
      <c r="M96" s="514">
        <f t="shared" si="67"/>
        <v>0.80741269133929972</v>
      </c>
      <c r="N96" s="514">
        <f t="shared" si="68"/>
        <v>0.93913976477870698</v>
      </c>
      <c r="O96" s="130"/>
      <c r="P96" s="130">
        <f t="shared" ref="P96:S96" si="76">P13+P30+P39+P50+P67+P72+P76+P80</f>
        <v>941600</v>
      </c>
      <c r="Q96" s="130">
        <f t="shared" si="76"/>
        <v>50000000</v>
      </c>
      <c r="R96" s="130">
        <f t="shared" si="76"/>
        <v>-3226529</v>
      </c>
      <c r="S96" s="130">
        <f t="shared" si="76"/>
        <v>47715071</v>
      </c>
      <c r="T96" s="514">
        <f t="shared" si="53"/>
        <v>2.8052203347229899E-2</v>
      </c>
      <c r="U96" s="130"/>
      <c r="V96" s="690">
        <f t="shared" si="69"/>
        <v>0</v>
      </c>
      <c r="W96" s="494"/>
      <c r="X96" s="494"/>
    </row>
    <row r="97" spans="1:24" x14ac:dyDescent="0.25">
      <c r="A97" s="537"/>
      <c r="B97" s="537"/>
      <c r="C97" s="537"/>
      <c r="D97" s="538"/>
      <c r="E97" s="494"/>
      <c r="F97" s="494"/>
      <c r="G97" s="494"/>
      <c r="H97" s="538"/>
      <c r="I97" s="538"/>
      <c r="J97" s="494"/>
      <c r="K97" s="494"/>
      <c r="L97" s="539"/>
      <c r="M97" s="539"/>
      <c r="N97" s="539"/>
      <c r="O97" s="494"/>
      <c r="P97" s="538"/>
      <c r="Q97" s="538"/>
      <c r="R97" s="538"/>
      <c r="S97" s="538"/>
      <c r="T97" s="494"/>
      <c r="U97" s="494"/>
      <c r="V97" s="494"/>
      <c r="W97" s="494"/>
      <c r="X97" s="494"/>
    </row>
    <row r="98" spans="1:24" x14ac:dyDescent="0.25">
      <c r="C98" s="13"/>
      <c r="L98" s="487"/>
      <c r="M98" s="487"/>
      <c r="N98" s="487"/>
    </row>
    <row r="99" spans="1:24" x14ac:dyDescent="0.25">
      <c r="I99" s="179"/>
      <c r="L99" s="487"/>
      <c r="M99" s="487"/>
      <c r="N99" s="487"/>
    </row>
    <row r="100" spans="1:24" x14ac:dyDescent="0.25">
      <c r="L100" s="488"/>
      <c r="M100" s="488"/>
      <c r="N100" s="488"/>
    </row>
    <row r="101" spans="1:24" x14ac:dyDescent="0.25">
      <c r="C101" s="13"/>
      <c r="L101" s="486"/>
      <c r="M101" s="486"/>
      <c r="N101" s="486"/>
    </row>
    <row r="102" spans="1:24" x14ac:dyDescent="0.25">
      <c r="C102" s="13"/>
      <c r="L102" s="486"/>
      <c r="M102" s="486"/>
      <c r="N102" s="486"/>
    </row>
    <row r="103" spans="1:24" x14ac:dyDescent="0.25">
      <c r="L103" s="486"/>
      <c r="M103" s="486"/>
      <c r="N103" s="486"/>
    </row>
    <row r="104" spans="1:24" x14ac:dyDescent="0.25">
      <c r="C104" s="13"/>
      <c r="L104" s="486"/>
      <c r="M104" s="486"/>
      <c r="N104" s="486"/>
    </row>
    <row r="105" spans="1:24" x14ac:dyDescent="0.25">
      <c r="C105" s="13"/>
      <c r="L105" s="486"/>
      <c r="M105" s="486"/>
      <c r="N105" s="486"/>
    </row>
    <row r="107" spans="1:24" x14ac:dyDescent="0.25">
      <c r="C107" s="13"/>
    </row>
  </sheetData>
  <mergeCells count="5">
    <mergeCell ref="H8:J8"/>
    <mergeCell ref="L8:N8"/>
    <mergeCell ref="H7:N7"/>
    <mergeCell ref="C7:F7"/>
    <mergeCell ref="P7:T7"/>
  </mergeCells>
  <phoneticPr fontId="2" type="noConversion"/>
  <printOptions horizontalCentered="1"/>
  <pageMargins left="0" right="0" top="0.94488188976377963" bottom="0.74803149606299213" header="0.31496062992125984" footer="0.31496062992125984"/>
  <pageSetup paperSize="9" scale="54" fitToHeight="0" orientation="landscape" r:id="rId1"/>
  <headerFooter alignWithMargins="0">
    <oddHeader>&amp;R&amp;"Arial,Félkövér dőlt"&amp;12&amp;A  /&amp;10
&amp;"Arial,Dőlt"&amp;F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31"/>
  <sheetViews>
    <sheetView topLeftCell="E1" zoomScale="75" zoomScaleNormal="75" workbookViewId="0">
      <pane ySplit="11" topLeftCell="A12" activePane="bottomLeft" state="frozen"/>
      <selection pane="bottomLeft" activeCell="P8" sqref="P8:R8"/>
    </sheetView>
  </sheetViews>
  <sheetFormatPr defaultRowHeight="13.2" x14ac:dyDescent="0.25"/>
  <cols>
    <col min="1" max="1" width="6.44140625" style="10" bestFit="1" customWidth="1"/>
    <col min="2" max="2" width="53.5546875" style="10" customWidth="1"/>
    <col min="3" max="3" width="15.5546875" style="10" customWidth="1"/>
    <col min="4" max="4" width="15.5546875" style="11" customWidth="1"/>
    <col min="5" max="6" width="15.5546875" style="16" customWidth="1"/>
    <col min="7" max="7" width="0.6640625" style="16" customWidth="1"/>
    <col min="8" max="8" width="15.5546875" style="10" customWidth="1"/>
    <col min="9" max="10" width="15.5546875" style="16" customWidth="1"/>
    <col min="11" max="11" width="0.6640625" style="16" customWidth="1"/>
    <col min="12" max="12" width="13.88671875" style="10" customWidth="1"/>
    <col min="13" max="14" width="13.88671875" style="9" customWidth="1"/>
    <col min="15" max="15" width="0.6640625" style="16" customWidth="1"/>
    <col min="16" max="18" width="14.5546875" style="10" customWidth="1"/>
    <col min="19" max="19" width="15.5546875" style="10" customWidth="1"/>
    <col min="20" max="20" width="10.5546875" style="9" customWidth="1"/>
    <col min="21" max="21" width="0.6640625" style="16" customWidth="1"/>
    <col min="22" max="22" width="4.6640625" customWidth="1"/>
  </cols>
  <sheetData>
    <row r="1" spans="1:27" ht="24.6" x14ac:dyDescent="0.25">
      <c r="A1" s="83" t="s">
        <v>479</v>
      </c>
      <c r="B1" s="489"/>
      <c r="C1" s="489"/>
      <c r="D1" s="489"/>
      <c r="E1" s="602"/>
      <c r="F1" s="503"/>
      <c r="G1" s="490"/>
      <c r="H1" s="491"/>
      <c r="I1" s="491"/>
      <c r="J1" s="492" t="str">
        <f>+'1. Sülysáp összesen'!J1</f>
        <v>2018. ÉV KÖLTSÉGVETÉS</v>
      </c>
      <c r="K1" s="83" t="s">
        <v>427</v>
      </c>
      <c r="L1" s="83" t="s">
        <v>428</v>
      </c>
      <c r="M1" s="491"/>
      <c r="N1" s="491"/>
      <c r="O1" s="491"/>
      <c r="P1" s="491"/>
      <c r="Q1" s="491"/>
      <c r="R1" s="491"/>
      <c r="S1" s="491"/>
      <c r="T1" s="491"/>
      <c r="U1" s="491"/>
      <c r="V1" s="544"/>
      <c r="W1" s="491"/>
      <c r="X1" s="491"/>
      <c r="Y1" s="497"/>
      <c r="Z1" s="28"/>
      <c r="AA1" s="28"/>
    </row>
    <row r="2" spans="1:27" ht="21" hidden="1" x14ac:dyDescent="0.25">
      <c r="A2" s="494"/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1"/>
      <c r="V2" s="687"/>
      <c r="W2" s="494"/>
      <c r="X2" s="494"/>
      <c r="Y2" s="494"/>
    </row>
    <row r="3" spans="1:27" ht="21" hidden="1" x14ac:dyDescent="0.25">
      <c r="A3" s="494"/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1"/>
      <c r="V3" s="687"/>
      <c r="W3" s="494"/>
      <c r="X3" s="494"/>
      <c r="Y3" s="494"/>
    </row>
    <row r="4" spans="1:27" x14ac:dyDescent="0.25">
      <c r="A4" s="494"/>
      <c r="B4" s="494"/>
      <c r="C4" s="496"/>
      <c r="D4" s="496"/>
      <c r="E4" s="603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  <c r="S4" s="496"/>
      <c r="T4" s="494"/>
      <c r="U4" s="494"/>
      <c r="V4" s="687"/>
      <c r="W4" s="494"/>
      <c r="X4" s="494"/>
      <c r="Y4" s="494"/>
    </row>
    <row r="5" spans="1:27" ht="14.1" hidden="1" customHeight="1" x14ac:dyDescent="0.25">
      <c r="A5" s="494"/>
      <c r="B5" s="494"/>
      <c r="C5" s="604"/>
      <c r="D5" s="605"/>
      <c r="E5" s="605"/>
      <c r="F5" s="606"/>
      <c r="G5" s="607"/>
      <c r="H5" s="608"/>
      <c r="I5" s="609"/>
      <c r="J5" s="609"/>
      <c r="K5" s="607"/>
      <c r="L5" s="610"/>
      <c r="M5" s="611"/>
      <c r="N5" s="612"/>
      <c r="O5" s="607"/>
      <c r="P5" s="608"/>
      <c r="Q5" s="609"/>
      <c r="R5" s="609"/>
      <c r="S5" s="609"/>
      <c r="T5" s="613"/>
      <c r="U5" s="496"/>
      <c r="V5" s="687"/>
      <c r="W5" s="494"/>
      <c r="X5" s="494"/>
      <c r="Y5" s="494"/>
    </row>
    <row r="6" spans="1:27" ht="14.1" hidden="1" customHeight="1" x14ac:dyDescent="0.25">
      <c r="A6" s="494"/>
      <c r="B6" s="494"/>
      <c r="C6" s="614"/>
      <c r="D6" s="615"/>
      <c r="E6" s="615"/>
      <c r="F6" s="616"/>
      <c r="G6" s="617"/>
      <c r="H6" s="618"/>
      <c r="I6" s="619"/>
      <c r="J6" s="619"/>
      <c r="K6" s="617"/>
      <c r="L6" s="620"/>
      <c r="M6" s="621"/>
      <c r="N6" s="622"/>
      <c r="O6" s="617"/>
      <c r="P6" s="618"/>
      <c r="Q6" s="619"/>
      <c r="R6" s="619"/>
      <c r="S6" s="619"/>
      <c r="T6" s="622"/>
      <c r="U6" s="496"/>
      <c r="V6" s="687"/>
      <c r="W6" s="494"/>
      <c r="X6" s="494"/>
      <c r="Y6" s="494"/>
    </row>
    <row r="7" spans="1:27" ht="15.6" x14ac:dyDescent="0.25">
      <c r="A7" s="494"/>
      <c r="B7" s="494"/>
      <c r="C7" s="1093" t="s">
        <v>415</v>
      </c>
      <c r="D7" s="1114"/>
      <c r="E7" s="1114"/>
      <c r="F7" s="1115"/>
      <c r="G7" s="575"/>
      <c r="H7" s="1093" t="s">
        <v>414</v>
      </c>
      <c r="I7" s="1094"/>
      <c r="J7" s="1094"/>
      <c r="K7" s="1094"/>
      <c r="L7" s="1094"/>
      <c r="M7" s="1094"/>
      <c r="N7" s="1095"/>
      <c r="O7" s="575"/>
      <c r="P7" s="1093" t="s">
        <v>411</v>
      </c>
      <c r="Q7" s="1114"/>
      <c r="R7" s="1114"/>
      <c r="S7" s="1114"/>
      <c r="T7" s="1115"/>
      <c r="U7" s="494"/>
      <c r="V7" s="687"/>
      <c r="W7" s="494"/>
      <c r="X7" s="494"/>
      <c r="Y7" s="494"/>
    </row>
    <row r="8" spans="1:27" ht="13.8" x14ac:dyDescent="0.25">
      <c r="A8" s="494"/>
      <c r="B8" s="494"/>
      <c r="C8" s="623"/>
      <c r="D8" s="482"/>
      <c r="E8" s="482"/>
      <c r="F8" s="483"/>
      <c r="G8" s="624"/>
      <c r="H8" s="1096" t="s">
        <v>424</v>
      </c>
      <c r="I8" s="1097"/>
      <c r="J8" s="1098"/>
      <c r="K8" s="61"/>
      <c r="L8" s="1096" t="s">
        <v>423</v>
      </c>
      <c r="M8" s="1097"/>
      <c r="N8" s="1098"/>
      <c r="O8" s="624"/>
      <c r="P8" s="579">
        <f>+'1. Sülysáp összesen'!P8</f>
        <v>1</v>
      </c>
      <c r="Q8" s="579">
        <f>+' 2. Önk. Bevételek'!Q8</f>
        <v>1</v>
      </c>
      <c r="R8" s="579">
        <f>+'1. Sülysáp összesen'!R8</f>
        <v>1</v>
      </c>
      <c r="S8" s="482"/>
      <c r="T8" s="483"/>
      <c r="U8" s="494"/>
      <c r="V8" s="692" t="str">
        <f>+'1. Sülysáp összesen'!V5</f>
        <v>F-oszlop</v>
      </c>
      <c r="W8" s="494"/>
      <c r="X8" s="494"/>
      <c r="Y8" s="494"/>
    </row>
    <row r="9" spans="1:27" ht="20.100000000000001" customHeight="1" x14ac:dyDescent="0.25">
      <c r="A9" s="625"/>
      <c r="B9" s="93" t="s">
        <v>380</v>
      </c>
      <c r="C9" s="94">
        <f>+C168</f>
        <v>1700938440.25</v>
      </c>
      <c r="D9" s="94">
        <f>+D168</f>
        <v>1701880040</v>
      </c>
      <c r="E9" s="94">
        <f>+E168</f>
        <v>1751880040</v>
      </c>
      <c r="F9" s="94">
        <f>+F168</f>
        <v>1748653511</v>
      </c>
      <c r="G9" s="94"/>
      <c r="H9" s="94">
        <f>+H168</f>
        <v>671775725</v>
      </c>
      <c r="I9" s="94">
        <f>+I168</f>
        <v>918232967</v>
      </c>
      <c r="J9" s="94">
        <f>+J168</f>
        <v>1231273498</v>
      </c>
      <c r="K9" s="86"/>
      <c r="L9" s="600">
        <f t="shared" ref="L9:N9" si="0">IF(D9=0,0,H9/D9)</f>
        <v>0.39472566174523088</v>
      </c>
      <c r="M9" s="601">
        <f t="shared" si="0"/>
        <v>0.52414146290518837</v>
      </c>
      <c r="N9" s="601">
        <f t="shared" si="0"/>
        <v>0.70412662671856208</v>
      </c>
      <c r="O9" s="86"/>
      <c r="P9" s="94">
        <f>IF(D9&gt;0,+D9-C9,0)</f>
        <v>941599.75</v>
      </c>
      <c r="Q9" s="94">
        <f>IF(E9&gt;0,+E9-D9,0)</f>
        <v>50000000</v>
      </c>
      <c r="R9" s="94">
        <f>IF(F9&gt;0,+F9-E9,0)</f>
        <v>-3226529</v>
      </c>
      <c r="S9" s="94">
        <f>SUM(P9:R9)</f>
        <v>47715070.75</v>
      </c>
      <c r="T9" s="601">
        <f>+S9/C9</f>
        <v>2.8052203196129159E-2</v>
      </c>
      <c r="U9" s="97"/>
      <c r="V9" s="688">
        <f>+S9-F9+C9</f>
        <v>0</v>
      </c>
      <c r="W9" s="494"/>
      <c r="X9" s="494"/>
      <c r="Y9" s="494"/>
    </row>
    <row r="10" spans="1:27" ht="13.8" x14ac:dyDescent="0.25">
      <c r="A10" s="626"/>
      <c r="B10" s="627"/>
      <c r="C10" s="624"/>
      <c r="D10" s="624"/>
      <c r="E10" s="624"/>
      <c r="F10" s="624"/>
      <c r="G10" s="624"/>
      <c r="H10" s="624"/>
      <c r="I10" s="624"/>
      <c r="J10" s="624"/>
      <c r="K10" s="624"/>
      <c r="L10" s="628"/>
      <c r="M10" s="629"/>
      <c r="N10" s="629"/>
      <c r="O10" s="624"/>
      <c r="P10" s="624"/>
      <c r="Q10" s="624"/>
      <c r="R10" s="624"/>
      <c r="S10" s="624"/>
      <c r="T10" s="629"/>
      <c r="U10" s="630"/>
      <c r="V10" s="155"/>
      <c r="W10" s="494"/>
      <c r="X10" s="494"/>
      <c r="Y10" s="494"/>
    </row>
    <row r="11" spans="1:27" s="1" customFormat="1" ht="64.5" customHeight="1" x14ac:dyDescent="0.25">
      <c r="A11" s="19" t="s">
        <v>375</v>
      </c>
      <c r="B11" s="19" t="s">
        <v>373</v>
      </c>
      <c r="C11" s="163" t="s">
        <v>484</v>
      </c>
      <c r="D11" s="141" t="s">
        <v>485</v>
      </c>
      <c r="E11" s="141" t="s">
        <v>486</v>
      </c>
      <c r="F11" s="164" t="s">
        <v>487</v>
      </c>
      <c r="G11" s="141"/>
      <c r="H11" s="160" t="s">
        <v>497</v>
      </c>
      <c r="I11" s="142" t="s">
        <v>498</v>
      </c>
      <c r="J11" s="164" t="s">
        <v>499</v>
      </c>
      <c r="K11" s="141"/>
      <c r="L11" s="143" t="s">
        <v>500</v>
      </c>
      <c r="M11" s="143" t="s">
        <v>502</v>
      </c>
      <c r="N11" s="161" t="s">
        <v>501</v>
      </c>
      <c r="O11" s="141"/>
      <c r="P11" s="160" t="s">
        <v>494</v>
      </c>
      <c r="Q11" s="142" t="s">
        <v>495</v>
      </c>
      <c r="R11" s="142" t="s">
        <v>496</v>
      </c>
      <c r="S11" s="142" t="s">
        <v>412</v>
      </c>
      <c r="T11" s="161" t="s">
        <v>413</v>
      </c>
      <c r="U11" s="74"/>
      <c r="V11" s="52" t="s">
        <v>417</v>
      </c>
      <c r="W11" s="631"/>
      <c r="X11" s="631"/>
      <c r="Y11" s="631"/>
    </row>
    <row r="12" spans="1:27" x14ac:dyDescent="0.25">
      <c r="A12" s="632"/>
      <c r="B12" s="533"/>
      <c r="C12" s="64"/>
      <c r="D12" s="570"/>
      <c r="E12" s="570"/>
      <c r="F12" s="570"/>
      <c r="G12" s="570"/>
      <c r="H12" s="503"/>
      <c r="I12" s="503"/>
      <c r="J12" s="503"/>
      <c r="K12" s="570"/>
      <c r="L12" s="633"/>
      <c r="M12" s="633"/>
      <c r="N12" s="633"/>
      <c r="O12" s="570"/>
      <c r="P12" s="503"/>
      <c r="Q12" s="503"/>
      <c r="R12" s="503"/>
      <c r="S12" s="503"/>
      <c r="T12" s="546"/>
      <c r="U12" s="634"/>
      <c r="V12" s="153"/>
      <c r="W12" s="494"/>
      <c r="X12" s="494"/>
      <c r="Y12" s="494"/>
    </row>
    <row r="13" spans="1:27" x14ac:dyDescent="0.25">
      <c r="A13" s="512" t="s">
        <v>0</v>
      </c>
      <c r="B13" s="513" t="s">
        <v>3</v>
      </c>
      <c r="C13" s="128">
        <f t="shared" ref="C13" si="1">SUM(C14:C28)</f>
        <v>82119000</v>
      </c>
      <c r="D13" s="128">
        <f>SUM(D14:D28)</f>
        <v>82119000</v>
      </c>
      <c r="E13" s="128">
        <f>SUM(E14:E28)</f>
        <v>82619000</v>
      </c>
      <c r="F13" s="128">
        <f>SUM(F14:F28)</f>
        <v>81970803</v>
      </c>
      <c r="G13" s="128"/>
      <c r="H13" s="635">
        <f t="shared" ref="H13" si="2">SUM(H14:H28)</f>
        <v>43026244</v>
      </c>
      <c r="I13" s="635">
        <f>SUM(I14:I28)</f>
        <v>65061828</v>
      </c>
      <c r="J13" s="635">
        <f>SUM(J14:J28)</f>
        <v>81970803</v>
      </c>
      <c r="K13" s="128"/>
      <c r="L13" s="636">
        <f t="shared" ref="L13:N76" si="3">IF(D13=0,0,H13/D13)</f>
        <v>0.52394992632642867</v>
      </c>
      <c r="M13" s="636">
        <f t="shared" si="3"/>
        <v>0.78749232016848425</v>
      </c>
      <c r="N13" s="636">
        <f t="shared" si="3"/>
        <v>1</v>
      </c>
      <c r="O13" s="128"/>
      <c r="P13" s="635">
        <f>IF(D13&gt;0,+D13-C13,0)</f>
        <v>0</v>
      </c>
      <c r="Q13" s="635">
        <f>IF(E13&gt;0,+E13-D13,0)</f>
        <v>500000</v>
      </c>
      <c r="R13" s="635">
        <f>IF(F13&gt;0,+F13-E13,0)</f>
        <v>-648197</v>
      </c>
      <c r="S13" s="635">
        <f>SUM(P13:R13)</f>
        <v>-148197</v>
      </c>
      <c r="T13" s="514">
        <f>IF(C13=0,0,+S13/C13)</f>
        <v>-1.8046615277828516E-3</v>
      </c>
      <c r="U13" s="127"/>
      <c r="V13" s="690">
        <f t="shared" ref="V13:V14" si="4">+S13-F13+C13</f>
        <v>0</v>
      </c>
      <c r="W13" s="494"/>
      <c r="X13" s="494"/>
      <c r="Y13" s="494"/>
    </row>
    <row r="14" spans="1:27" x14ac:dyDescent="0.25">
      <c r="A14" s="632" t="s">
        <v>1</v>
      </c>
      <c r="B14" s="533"/>
      <c r="C14" s="64"/>
      <c r="D14" s="570"/>
      <c r="E14" s="570">
        <v>0</v>
      </c>
      <c r="F14" s="570"/>
      <c r="G14" s="570"/>
      <c r="H14" s="503"/>
      <c r="I14" s="503"/>
      <c r="J14" s="503"/>
      <c r="K14" s="570"/>
      <c r="L14" s="637">
        <f t="shared" si="3"/>
        <v>0</v>
      </c>
      <c r="M14" s="637">
        <f t="shared" si="3"/>
        <v>0</v>
      </c>
      <c r="N14" s="637">
        <f t="shared" si="3"/>
        <v>0</v>
      </c>
      <c r="O14" s="570"/>
      <c r="P14" s="503"/>
      <c r="Q14" s="503"/>
      <c r="R14" s="503"/>
      <c r="S14" s="503"/>
      <c r="T14" s="514"/>
      <c r="U14" s="634"/>
      <c r="V14" s="690">
        <f t="shared" si="4"/>
        <v>0</v>
      </c>
      <c r="W14" s="494"/>
      <c r="X14" s="494"/>
      <c r="Y14" s="494"/>
    </row>
    <row r="15" spans="1:27" x14ac:dyDescent="0.25">
      <c r="A15" s="632" t="s">
        <v>2</v>
      </c>
      <c r="B15" s="533" t="s">
        <v>364</v>
      </c>
      <c r="C15" s="64">
        <v>62446000</v>
      </c>
      <c r="D15" s="64">
        <v>60342460</v>
      </c>
      <c r="E15" s="64">
        <v>60342460</v>
      </c>
      <c r="F15" s="570">
        <v>58026970</v>
      </c>
      <c r="G15" s="570"/>
      <c r="H15" s="503">
        <v>30915051</v>
      </c>
      <c r="I15" s="503">
        <v>46837169</v>
      </c>
      <c r="J15" s="503">
        <v>58026970</v>
      </c>
      <c r="K15" s="570"/>
      <c r="L15" s="637">
        <f t="shared" si="3"/>
        <v>0.51232666019913675</v>
      </c>
      <c r="M15" s="637">
        <f t="shared" si="3"/>
        <v>0.77618925380238057</v>
      </c>
      <c r="N15" s="637">
        <f t="shared" si="3"/>
        <v>1</v>
      </c>
      <c r="O15" s="570"/>
      <c r="P15" s="503">
        <f t="shared" ref="P15:P23" si="5">+(D15-C15)*P$8</f>
        <v>-2103540</v>
      </c>
      <c r="Q15" s="503">
        <f t="shared" ref="Q15:Q23" si="6">+(E15-D15)*Q$8</f>
        <v>0</v>
      </c>
      <c r="R15" s="503">
        <f t="shared" ref="R15:R23" si="7">+(F15-E15)*R$8</f>
        <v>-2315490</v>
      </c>
      <c r="S15" s="503">
        <f>SUM(P15:R15)</f>
        <v>-4419030</v>
      </c>
      <c r="T15" s="514">
        <f t="shared" ref="T15:T23" si="8">IF(C15=0,0,+S15/C15)</f>
        <v>-7.076562149697338E-2</v>
      </c>
      <c r="U15" s="634"/>
      <c r="V15" s="690">
        <f>+S15-F15+C15</f>
        <v>0</v>
      </c>
      <c r="W15" s="494"/>
      <c r="X15" s="494"/>
      <c r="Y15" s="494"/>
    </row>
    <row r="16" spans="1:27" x14ac:dyDescent="0.25">
      <c r="A16" s="632" t="s">
        <v>13</v>
      </c>
      <c r="B16" s="533" t="s">
        <v>4</v>
      </c>
      <c r="C16" s="64">
        <v>0</v>
      </c>
      <c r="D16" s="64">
        <v>0</v>
      </c>
      <c r="E16" s="64">
        <v>0</v>
      </c>
      <c r="F16" s="570"/>
      <c r="G16" s="570"/>
      <c r="H16" s="503">
        <v>0</v>
      </c>
      <c r="I16" s="503">
        <v>0</v>
      </c>
      <c r="J16" s="503"/>
      <c r="K16" s="570"/>
      <c r="L16" s="637">
        <f t="shared" si="3"/>
        <v>0</v>
      </c>
      <c r="M16" s="637">
        <f t="shared" si="3"/>
        <v>0</v>
      </c>
      <c r="N16" s="637">
        <f t="shared" si="3"/>
        <v>0</v>
      </c>
      <c r="O16" s="570"/>
      <c r="P16" s="503">
        <f t="shared" si="5"/>
        <v>0</v>
      </c>
      <c r="Q16" s="503">
        <f t="shared" si="6"/>
        <v>0</v>
      </c>
      <c r="R16" s="503">
        <f t="shared" si="7"/>
        <v>0</v>
      </c>
      <c r="S16" s="503">
        <f t="shared" ref="S16:S79" si="9">SUM(P16:R16)</f>
        <v>0</v>
      </c>
      <c r="T16" s="514">
        <f t="shared" si="8"/>
        <v>0</v>
      </c>
      <c r="U16" s="634"/>
      <c r="V16" s="690">
        <f t="shared" ref="V16:V79" si="10">+S16-F16+C16</f>
        <v>0</v>
      </c>
      <c r="W16" s="494"/>
      <c r="X16" s="494"/>
      <c r="Y16" s="494"/>
    </row>
    <row r="17" spans="1:25" x14ac:dyDescent="0.25">
      <c r="A17" s="632" t="s">
        <v>14</v>
      </c>
      <c r="B17" s="533" t="s">
        <v>5</v>
      </c>
      <c r="C17" s="64">
        <v>0</v>
      </c>
      <c r="D17" s="64">
        <v>0</v>
      </c>
      <c r="E17" s="64">
        <v>0</v>
      </c>
      <c r="F17" s="570"/>
      <c r="G17" s="570"/>
      <c r="H17" s="503">
        <v>0</v>
      </c>
      <c r="I17" s="503"/>
      <c r="J17" s="503"/>
      <c r="K17" s="570"/>
      <c r="L17" s="637">
        <f t="shared" si="3"/>
        <v>0</v>
      </c>
      <c r="M17" s="637">
        <f t="shared" si="3"/>
        <v>0</v>
      </c>
      <c r="N17" s="637">
        <f t="shared" si="3"/>
        <v>0</v>
      </c>
      <c r="O17" s="570"/>
      <c r="P17" s="503">
        <f t="shared" si="5"/>
        <v>0</v>
      </c>
      <c r="Q17" s="503">
        <f t="shared" si="6"/>
        <v>0</v>
      </c>
      <c r="R17" s="503">
        <f t="shared" si="7"/>
        <v>0</v>
      </c>
      <c r="S17" s="503">
        <f t="shared" si="9"/>
        <v>0</v>
      </c>
      <c r="T17" s="514">
        <f t="shared" si="8"/>
        <v>0</v>
      </c>
      <c r="U17" s="634"/>
      <c r="V17" s="690">
        <f t="shared" si="10"/>
        <v>0</v>
      </c>
      <c r="W17" s="494"/>
      <c r="X17" s="494"/>
      <c r="Y17" s="494"/>
    </row>
    <row r="18" spans="1:25" x14ac:dyDescent="0.25">
      <c r="A18" s="534" t="s">
        <v>389</v>
      </c>
      <c r="B18" s="533" t="s">
        <v>6</v>
      </c>
      <c r="C18" s="64">
        <v>0</v>
      </c>
      <c r="D18" s="64"/>
      <c r="E18" s="64"/>
      <c r="F18" s="570"/>
      <c r="G18" s="570"/>
      <c r="H18" s="503"/>
      <c r="I18" s="503"/>
      <c r="J18" s="503"/>
      <c r="K18" s="570"/>
      <c r="L18" s="637">
        <f t="shared" si="3"/>
        <v>0</v>
      </c>
      <c r="M18" s="637">
        <f t="shared" si="3"/>
        <v>0</v>
      </c>
      <c r="N18" s="637">
        <f t="shared" si="3"/>
        <v>0</v>
      </c>
      <c r="O18" s="570"/>
      <c r="P18" s="503">
        <f t="shared" si="5"/>
        <v>0</v>
      </c>
      <c r="Q18" s="503">
        <f t="shared" si="6"/>
        <v>0</v>
      </c>
      <c r="R18" s="503">
        <f t="shared" si="7"/>
        <v>0</v>
      </c>
      <c r="S18" s="503">
        <f t="shared" si="9"/>
        <v>0</v>
      </c>
      <c r="T18" s="514">
        <f t="shared" si="8"/>
        <v>0</v>
      </c>
      <c r="U18" s="634"/>
      <c r="V18" s="690">
        <f t="shared" si="10"/>
        <v>0</v>
      </c>
      <c r="W18" s="494"/>
      <c r="X18" s="494"/>
      <c r="Y18" s="494"/>
    </row>
    <row r="19" spans="1:25" x14ac:dyDescent="0.25">
      <c r="A19" s="632" t="s">
        <v>15</v>
      </c>
      <c r="B19" s="533" t="s">
        <v>7</v>
      </c>
      <c r="C19" s="64">
        <v>880000</v>
      </c>
      <c r="D19" s="64">
        <v>880000</v>
      </c>
      <c r="E19" s="64">
        <v>880000</v>
      </c>
      <c r="F19" s="570">
        <v>1345000</v>
      </c>
      <c r="G19" s="570"/>
      <c r="H19" s="503">
        <v>210000</v>
      </c>
      <c r="I19" s="503">
        <v>620000</v>
      </c>
      <c r="J19" s="503">
        <v>1345000</v>
      </c>
      <c r="K19" s="570"/>
      <c r="L19" s="637">
        <f t="shared" si="3"/>
        <v>0.23863636363636365</v>
      </c>
      <c r="M19" s="637">
        <f t="shared" si="3"/>
        <v>0.70454545454545459</v>
      </c>
      <c r="N19" s="637">
        <f t="shared" si="3"/>
        <v>1</v>
      </c>
      <c r="O19" s="570"/>
      <c r="P19" s="503">
        <f t="shared" si="5"/>
        <v>0</v>
      </c>
      <c r="Q19" s="503">
        <f t="shared" si="6"/>
        <v>0</v>
      </c>
      <c r="R19" s="503">
        <f t="shared" si="7"/>
        <v>465000</v>
      </c>
      <c r="S19" s="503">
        <f t="shared" si="9"/>
        <v>465000</v>
      </c>
      <c r="T19" s="514">
        <f t="shared" si="8"/>
        <v>0.52840909090909094</v>
      </c>
      <c r="U19" s="634"/>
      <c r="V19" s="690">
        <f t="shared" si="10"/>
        <v>0</v>
      </c>
      <c r="W19" s="494"/>
      <c r="X19" s="494"/>
      <c r="Y19" s="494"/>
    </row>
    <row r="20" spans="1:25" x14ac:dyDescent="0.25">
      <c r="A20" s="632" t="s">
        <v>16</v>
      </c>
      <c r="B20" s="533" t="s">
        <v>8</v>
      </c>
      <c r="C20" s="64"/>
      <c r="D20" s="64"/>
      <c r="E20" s="64"/>
      <c r="F20" s="570"/>
      <c r="G20" s="570"/>
      <c r="H20" s="503"/>
      <c r="I20" s="503"/>
      <c r="J20" s="503"/>
      <c r="K20" s="570"/>
      <c r="L20" s="637">
        <f t="shared" si="3"/>
        <v>0</v>
      </c>
      <c r="M20" s="637">
        <f t="shared" si="3"/>
        <v>0</v>
      </c>
      <c r="N20" s="637">
        <f t="shared" si="3"/>
        <v>0</v>
      </c>
      <c r="O20" s="570"/>
      <c r="P20" s="503">
        <f t="shared" si="5"/>
        <v>0</v>
      </c>
      <c r="Q20" s="503">
        <f t="shared" si="6"/>
        <v>0</v>
      </c>
      <c r="R20" s="503">
        <f t="shared" si="7"/>
        <v>0</v>
      </c>
      <c r="S20" s="503">
        <f t="shared" si="9"/>
        <v>0</v>
      </c>
      <c r="T20" s="514">
        <f t="shared" si="8"/>
        <v>0</v>
      </c>
      <c r="U20" s="634"/>
      <c r="V20" s="690">
        <f t="shared" si="10"/>
        <v>0</v>
      </c>
      <c r="W20" s="494"/>
      <c r="X20" s="494"/>
      <c r="Y20" s="494"/>
    </row>
    <row r="21" spans="1:25" x14ac:dyDescent="0.25">
      <c r="A21" s="632" t="s">
        <v>17</v>
      </c>
      <c r="B21" s="533" t="s">
        <v>9</v>
      </c>
      <c r="C21" s="64">
        <v>0</v>
      </c>
      <c r="D21" s="64">
        <v>0</v>
      </c>
      <c r="E21" s="64">
        <v>0</v>
      </c>
      <c r="F21" s="570"/>
      <c r="G21" s="570"/>
      <c r="H21" s="503">
        <v>0</v>
      </c>
      <c r="I21" s="503"/>
      <c r="J21" s="503"/>
      <c r="K21" s="570"/>
      <c r="L21" s="637">
        <f t="shared" si="3"/>
        <v>0</v>
      </c>
      <c r="M21" s="637">
        <f t="shared" si="3"/>
        <v>0</v>
      </c>
      <c r="N21" s="637">
        <f t="shared" si="3"/>
        <v>0</v>
      </c>
      <c r="O21" s="570"/>
      <c r="P21" s="503">
        <f t="shared" si="5"/>
        <v>0</v>
      </c>
      <c r="Q21" s="503">
        <f t="shared" si="6"/>
        <v>0</v>
      </c>
      <c r="R21" s="503">
        <f t="shared" si="7"/>
        <v>0</v>
      </c>
      <c r="S21" s="503">
        <f t="shared" si="9"/>
        <v>0</v>
      </c>
      <c r="T21" s="514">
        <f t="shared" si="8"/>
        <v>0</v>
      </c>
      <c r="U21" s="634"/>
      <c r="V21" s="690">
        <f t="shared" si="10"/>
        <v>0</v>
      </c>
      <c r="W21" s="494"/>
      <c r="X21" s="494"/>
      <c r="Y21" s="494"/>
    </row>
    <row r="22" spans="1:25" x14ac:dyDescent="0.25">
      <c r="A22" s="632" t="s">
        <v>18</v>
      </c>
      <c r="B22" s="533" t="s">
        <v>10</v>
      </c>
      <c r="C22" s="64">
        <v>0</v>
      </c>
      <c r="D22" s="64">
        <v>0</v>
      </c>
      <c r="E22" s="64">
        <v>0</v>
      </c>
      <c r="F22" s="570"/>
      <c r="G22" s="570"/>
      <c r="H22" s="503"/>
      <c r="I22" s="503"/>
      <c r="J22" s="503"/>
      <c r="K22" s="570"/>
      <c r="L22" s="637">
        <f t="shared" si="3"/>
        <v>0</v>
      </c>
      <c r="M22" s="637">
        <f t="shared" si="3"/>
        <v>0</v>
      </c>
      <c r="N22" s="637">
        <f t="shared" si="3"/>
        <v>0</v>
      </c>
      <c r="O22" s="570"/>
      <c r="P22" s="503">
        <f t="shared" si="5"/>
        <v>0</v>
      </c>
      <c r="Q22" s="503">
        <f t="shared" si="6"/>
        <v>0</v>
      </c>
      <c r="R22" s="503">
        <f t="shared" si="7"/>
        <v>0</v>
      </c>
      <c r="S22" s="503">
        <f t="shared" si="9"/>
        <v>0</v>
      </c>
      <c r="T22" s="514">
        <f t="shared" si="8"/>
        <v>0</v>
      </c>
      <c r="U22" s="634"/>
      <c r="V22" s="690">
        <f t="shared" si="10"/>
        <v>0</v>
      </c>
      <c r="W22" s="494"/>
      <c r="X22" s="494"/>
      <c r="Y22" s="494"/>
    </row>
    <row r="23" spans="1:25" x14ac:dyDescent="0.25">
      <c r="A23" s="632" t="s">
        <v>19</v>
      </c>
      <c r="B23" s="533" t="s">
        <v>11</v>
      </c>
      <c r="C23" s="64">
        <v>0</v>
      </c>
      <c r="D23" s="64">
        <v>2000000</v>
      </c>
      <c r="E23" s="64">
        <v>2000000</v>
      </c>
      <c r="F23" s="570">
        <v>1707076</v>
      </c>
      <c r="G23" s="570"/>
      <c r="H23" s="503">
        <v>1195429</v>
      </c>
      <c r="I23" s="503">
        <v>1544490</v>
      </c>
      <c r="J23" s="503">
        <v>1707076</v>
      </c>
      <c r="K23" s="570"/>
      <c r="L23" s="637">
        <f t="shared" si="3"/>
        <v>0.59771450000000004</v>
      </c>
      <c r="M23" s="637">
        <f t="shared" si="3"/>
        <v>0.77224499999999996</v>
      </c>
      <c r="N23" s="637">
        <f t="shared" si="3"/>
        <v>1</v>
      </c>
      <c r="O23" s="570"/>
      <c r="P23" s="503">
        <f t="shared" si="5"/>
        <v>2000000</v>
      </c>
      <c r="Q23" s="503">
        <f t="shared" si="6"/>
        <v>0</v>
      </c>
      <c r="R23" s="503">
        <f t="shared" si="7"/>
        <v>-292924</v>
      </c>
      <c r="S23" s="503">
        <f t="shared" si="9"/>
        <v>1707076</v>
      </c>
      <c r="T23" s="514">
        <f t="shared" si="8"/>
        <v>0</v>
      </c>
      <c r="U23" s="634"/>
      <c r="V23" s="690">
        <f t="shared" si="10"/>
        <v>0</v>
      </c>
      <c r="W23" s="494"/>
      <c r="X23" s="494"/>
      <c r="Y23" s="494"/>
    </row>
    <row r="24" spans="1:25" x14ac:dyDescent="0.25">
      <c r="A24" s="632" t="s">
        <v>20</v>
      </c>
      <c r="B24" s="533"/>
      <c r="C24" s="64"/>
      <c r="D24" s="64"/>
      <c r="E24" s="64"/>
      <c r="F24" s="570"/>
      <c r="G24" s="570"/>
      <c r="H24" s="503"/>
      <c r="I24" s="503"/>
      <c r="J24" s="503"/>
      <c r="K24" s="570"/>
      <c r="L24" s="637">
        <f t="shared" si="3"/>
        <v>0</v>
      </c>
      <c r="M24" s="637">
        <f t="shared" si="3"/>
        <v>0</v>
      </c>
      <c r="N24" s="637">
        <f t="shared" si="3"/>
        <v>0</v>
      </c>
      <c r="O24" s="570"/>
      <c r="P24" s="503"/>
      <c r="Q24" s="503"/>
      <c r="R24" s="503"/>
      <c r="S24" s="503"/>
      <c r="T24" s="514"/>
      <c r="U24" s="634"/>
      <c r="V24" s="690">
        <f t="shared" si="10"/>
        <v>0</v>
      </c>
      <c r="W24" s="494"/>
      <c r="X24" s="494"/>
      <c r="Y24" s="494"/>
    </row>
    <row r="25" spans="1:25" x14ac:dyDescent="0.25">
      <c r="A25" s="527" t="s">
        <v>21</v>
      </c>
      <c r="B25" s="533" t="s">
        <v>22</v>
      </c>
      <c r="C25" s="64">
        <v>18793000</v>
      </c>
      <c r="D25" s="64">
        <v>17793000</v>
      </c>
      <c r="E25" s="64">
        <v>17793000</v>
      </c>
      <c r="F25" s="570">
        <v>19035143</v>
      </c>
      <c r="G25" s="570"/>
      <c r="H25" s="503">
        <v>9969041</v>
      </c>
      <c r="I25" s="503">
        <v>14531356</v>
      </c>
      <c r="J25" s="503">
        <v>19035143</v>
      </c>
      <c r="K25" s="570"/>
      <c r="L25" s="637">
        <f t="shared" si="3"/>
        <v>0.56027881751250497</v>
      </c>
      <c r="M25" s="637">
        <f t="shared" si="3"/>
        <v>0.81668948462878665</v>
      </c>
      <c r="N25" s="637">
        <f t="shared" si="3"/>
        <v>1</v>
      </c>
      <c r="O25" s="570"/>
      <c r="P25" s="503">
        <f t="shared" ref="P25:R27" si="11">+(D25-C25)*P$8</f>
        <v>-1000000</v>
      </c>
      <c r="Q25" s="503">
        <f t="shared" si="11"/>
        <v>0</v>
      </c>
      <c r="R25" s="503">
        <f t="shared" si="11"/>
        <v>1242143</v>
      </c>
      <c r="S25" s="503">
        <f t="shared" si="9"/>
        <v>242143</v>
      </c>
      <c r="T25" s="514">
        <f>IF(C25=0,0,+S25/C25)</f>
        <v>1.2884744319693503E-2</v>
      </c>
      <c r="U25" s="634"/>
      <c r="V25" s="690">
        <f t="shared" si="10"/>
        <v>0</v>
      </c>
      <c r="W25" s="494"/>
      <c r="X25" s="494"/>
      <c r="Y25" s="494"/>
    </row>
    <row r="26" spans="1:25" x14ac:dyDescent="0.25">
      <c r="A26" s="527" t="s">
        <v>23</v>
      </c>
      <c r="B26" s="533" t="s">
        <v>24</v>
      </c>
      <c r="C26" s="64">
        <v>0</v>
      </c>
      <c r="D26" s="64">
        <v>103540</v>
      </c>
      <c r="E26" s="64">
        <v>103540</v>
      </c>
      <c r="F26" s="570">
        <v>103540</v>
      </c>
      <c r="G26" s="570"/>
      <c r="H26" s="503">
        <v>103540</v>
      </c>
      <c r="I26" s="503">
        <v>103540</v>
      </c>
      <c r="J26" s="503">
        <v>103540</v>
      </c>
      <c r="K26" s="570"/>
      <c r="L26" s="637">
        <f t="shared" si="3"/>
        <v>1</v>
      </c>
      <c r="M26" s="637">
        <f t="shared" si="3"/>
        <v>1</v>
      </c>
      <c r="N26" s="637">
        <f t="shared" si="3"/>
        <v>1</v>
      </c>
      <c r="O26" s="570"/>
      <c r="P26" s="503">
        <f t="shared" si="11"/>
        <v>103540</v>
      </c>
      <c r="Q26" s="503">
        <f t="shared" si="11"/>
        <v>0</v>
      </c>
      <c r="R26" s="503">
        <f t="shared" si="11"/>
        <v>0</v>
      </c>
      <c r="S26" s="503">
        <f t="shared" si="9"/>
        <v>103540</v>
      </c>
      <c r="T26" s="514">
        <f>IF(C26=0,0,+S26/C26)</f>
        <v>0</v>
      </c>
      <c r="U26" s="634"/>
      <c r="V26" s="690">
        <f t="shared" si="10"/>
        <v>0</v>
      </c>
      <c r="W26" s="494"/>
      <c r="X26" s="494"/>
      <c r="Y26" s="494"/>
    </row>
    <row r="27" spans="1:25" x14ac:dyDescent="0.25">
      <c r="A27" s="527" t="s">
        <v>25</v>
      </c>
      <c r="B27" s="533" t="s">
        <v>26</v>
      </c>
      <c r="C27" s="64">
        <v>0</v>
      </c>
      <c r="D27" s="64">
        <v>1000000</v>
      </c>
      <c r="E27" s="64">
        <v>1500000</v>
      </c>
      <c r="F27" s="570">
        <v>1753074</v>
      </c>
      <c r="G27" s="570"/>
      <c r="H27" s="503">
        <v>633183</v>
      </c>
      <c r="I27" s="503">
        <v>1425273</v>
      </c>
      <c r="J27" s="503">
        <v>1753074</v>
      </c>
      <c r="K27" s="570"/>
      <c r="L27" s="637">
        <f t="shared" si="3"/>
        <v>0.63318300000000005</v>
      </c>
      <c r="M27" s="637">
        <f t="shared" si="3"/>
        <v>0.95018199999999997</v>
      </c>
      <c r="N27" s="637">
        <f t="shared" si="3"/>
        <v>1</v>
      </c>
      <c r="O27" s="570"/>
      <c r="P27" s="503">
        <f t="shared" si="11"/>
        <v>1000000</v>
      </c>
      <c r="Q27" s="503">
        <f t="shared" si="11"/>
        <v>500000</v>
      </c>
      <c r="R27" s="503">
        <f t="shared" si="11"/>
        <v>253074</v>
      </c>
      <c r="S27" s="503">
        <f t="shared" si="9"/>
        <v>1753074</v>
      </c>
      <c r="T27" s="514">
        <f>IF(C27=0,0,+S27/C27)</f>
        <v>0</v>
      </c>
      <c r="U27" s="634"/>
      <c r="V27" s="690">
        <f t="shared" si="10"/>
        <v>0</v>
      </c>
      <c r="W27" s="494"/>
      <c r="X27" s="494"/>
      <c r="Y27" s="494"/>
    </row>
    <row r="28" spans="1:25" x14ac:dyDescent="0.25">
      <c r="A28" s="527"/>
      <c r="B28" s="527"/>
      <c r="C28" s="64"/>
      <c r="D28" s="570"/>
      <c r="E28" s="570"/>
      <c r="F28" s="570"/>
      <c r="G28" s="570"/>
      <c r="H28" s="503"/>
      <c r="I28" s="503"/>
      <c r="J28" s="503"/>
      <c r="K28" s="570"/>
      <c r="L28" s="637">
        <f t="shared" si="3"/>
        <v>0</v>
      </c>
      <c r="M28" s="637">
        <f t="shared" si="3"/>
        <v>0</v>
      </c>
      <c r="N28" s="637">
        <f t="shared" si="3"/>
        <v>0</v>
      </c>
      <c r="O28" s="570"/>
      <c r="P28" s="503"/>
      <c r="Q28" s="503"/>
      <c r="R28" s="503"/>
      <c r="S28" s="503"/>
      <c r="T28" s="514"/>
      <c r="U28" s="634"/>
      <c r="V28" s="690">
        <f t="shared" si="10"/>
        <v>0</v>
      </c>
      <c r="W28" s="494"/>
      <c r="X28" s="494"/>
      <c r="Y28" s="494"/>
    </row>
    <row r="29" spans="1:25" x14ac:dyDescent="0.25">
      <c r="A29" s="512" t="s">
        <v>27</v>
      </c>
      <c r="B29" s="513" t="s">
        <v>28</v>
      </c>
      <c r="C29" s="638">
        <f t="shared" ref="C29" si="12">SUM(C30:C31)</f>
        <v>12300000</v>
      </c>
      <c r="D29" s="638">
        <f>SUM(D30:D31)</f>
        <v>12300000</v>
      </c>
      <c r="E29" s="638">
        <f>SUM(E30:E31)</f>
        <v>12300000</v>
      </c>
      <c r="F29" s="638">
        <f>SUM(F30:F31)</f>
        <v>13090501</v>
      </c>
      <c r="G29" s="638"/>
      <c r="H29" s="639">
        <f t="shared" ref="H29" si="13">SUM(H30:H31)</f>
        <v>6881317</v>
      </c>
      <c r="I29" s="639">
        <f>SUM(I30:I31)</f>
        <v>10581687</v>
      </c>
      <c r="J29" s="639">
        <f t="shared" ref="J29" si="14">SUM(J30:J31)</f>
        <v>13085278</v>
      </c>
      <c r="K29" s="638"/>
      <c r="L29" s="636">
        <f t="shared" si="3"/>
        <v>0.55945666666666671</v>
      </c>
      <c r="M29" s="636">
        <f t="shared" si="3"/>
        <v>0.86029975609756093</v>
      </c>
      <c r="N29" s="636">
        <f t="shared" si="3"/>
        <v>0.99960100839532418</v>
      </c>
      <c r="O29" s="638"/>
      <c r="P29" s="639">
        <f>IF(D29&gt;0,+D29-C29,0)</f>
        <v>0</v>
      </c>
      <c r="Q29" s="639">
        <f>IF(E29&gt;0,+E29-D29,0)</f>
        <v>0</v>
      </c>
      <c r="R29" s="639">
        <f>IF(F29&gt;0,+F29-E29,0)</f>
        <v>790501</v>
      </c>
      <c r="S29" s="639">
        <f t="shared" si="9"/>
        <v>790501</v>
      </c>
      <c r="T29" s="514">
        <f>IF(C29=0,0,+S29/C29)</f>
        <v>6.4268373983739843E-2</v>
      </c>
      <c r="U29" s="640"/>
      <c r="V29" s="690">
        <f t="shared" si="10"/>
        <v>0</v>
      </c>
      <c r="W29" s="494"/>
      <c r="X29" s="494"/>
      <c r="Y29" s="494"/>
    </row>
    <row r="30" spans="1:25" x14ac:dyDescent="0.25">
      <c r="A30" s="527"/>
      <c r="B30" s="533" t="s">
        <v>29</v>
      </c>
      <c r="C30" s="132">
        <v>12300000</v>
      </c>
      <c r="D30" s="132">
        <v>12300000</v>
      </c>
      <c r="E30" s="570">
        <v>12300000</v>
      </c>
      <c r="F30" s="570">
        <v>13090501</v>
      </c>
      <c r="G30" s="570"/>
      <c r="H30" s="503">
        <v>6881317</v>
      </c>
      <c r="I30" s="503">
        <v>10581687</v>
      </c>
      <c r="J30" s="503">
        <v>13085278</v>
      </c>
      <c r="K30" s="570"/>
      <c r="L30" s="637">
        <f t="shared" si="3"/>
        <v>0.55945666666666671</v>
      </c>
      <c r="M30" s="637">
        <f t="shared" si="3"/>
        <v>0.86029975609756093</v>
      </c>
      <c r="N30" s="637">
        <f t="shared" si="3"/>
        <v>0.99960100839532418</v>
      </c>
      <c r="O30" s="570"/>
      <c r="P30" s="503">
        <f>+(D30-C30)*P$8</f>
        <v>0</v>
      </c>
      <c r="Q30" s="503">
        <f>+(E30-D30)*Q$8</f>
        <v>0</v>
      </c>
      <c r="R30" s="503">
        <f>+(F30-E30)*R$8</f>
        <v>790501</v>
      </c>
      <c r="S30" s="503">
        <f t="shared" si="9"/>
        <v>790501</v>
      </c>
      <c r="T30" s="514">
        <f>IF(C30=0,0,+S30/C30)</f>
        <v>6.4268373983739843E-2</v>
      </c>
      <c r="U30" s="634"/>
      <c r="V30" s="690">
        <f t="shared" si="10"/>
        <v>0</v>
      </c>
      <c r="W30" s="494"/>
      <c r="X30" s="494"/>
      <c r="Y30" s="494"/>
    </row>
    <row r="31" spans="1:25" x14ac:dyDescent="0.25">
      <c r="A31" s="527"/>
      <c r="B31" s="527"/>
      <c r="C31" s="132"/>
      <c r="D31" s="570"/>
      <c r="E31" s="570"/>
      <c r="F31" s="570"/>
      <c r="G31" s="570"/>
      <c r="H31" s="503"/>
      <c r="I31" s="503"/>
      <c r="J31" s="503"/>
      <c r="K31" s="570"/>
      <c r="L31" s="637">
        <f t="shared" si="3"/>
        <v>0</v>
      </c>
      <c r="M31" s="637">
        <f t="shared" si="3"/>
        <v>0</v>
      </c>
      <c r="N31" s="637">
        <f t="shared" si="3"/>
        <v>0</v>
      </c>
      <c r="O31" s="570"/>
      <c r="P31" s="503"/>
      <c r="Q31" s="503"/>
      <c r="R31" s="503"/>
      <c r="S31" s="503"/>
      <c r="T31" s="514"/>
      <c r="U31" s="634"/>
      <c r="V31" s="690">
        <f t="shared" si="10"/>
        <v>0</v>
      </c>
      <c r="W31" s="494"/>
      <c r="X31" s="494"/>
      <c r="Y31" s="494"/>
    </row>
    <row r="32" spans="1:25" x14ac:dyDescent="0.25">
      <c r="A32" s="512" t="s">
        <v>30</v>
      </c>
      <c r="B32" s="513" t="s">
        <v>31</v>
      </c>
      <c r="C32" s="130">
        <f t="shared" ref="C32" si="15">SUM(C33:C80)</f>
        <v>174605000</v>
      </c>
      <c r="D32" s="130">
        <f>SUM(D33:D80)</f>
        <v>236573262</v>
      </c>
      <c r="E32" s="130">
        <f>SUM(E33:E80)</f>
        <v>287008017</v>
      </c>
      <c r="F32" s="130">
        <f>SUM(F33:F80)</f>
        <v>234128960</v>
      </c>
      <c r="G32" s="130"/>
      <c r="H32" s="641">
        <f t="shared" ref="H32" si="16">SUM(H33:H80)</f>
        <v>112632892</v>
      </c>
      <c r="I32" s="641">
        <f>SUM(I33:I80)</f>
        <v>189115933</v>
      </c>
      <c r="J32" s="641">
        <f>SUM(J33:J80)</f>
        <v>230496644</v>
      </c>
      <c r="K32" s="130"/>
      <c r="L32" s="636">
        <f t="shared" si="3"/>
        <v>0.47610153001990563</v>
      </c>
      <c r="M32" s="636">
        <f t="shared" si="3"/>
        <v>0.65892212690351437</v>
      </c>
      <c r="N32" s="636">
        <f t="shared" si="3"/>
        <v>0.98448583208160156</v>
      </c>
      <c r="O32" s="130"/>
      <c r="P32" s="641">
        <f>IF(D32&gt;0,+D32-C32,0)</f>
        <v>61968262</v>
      </c>
      <c r="Q32" s="641">
        <f>IF(E32&gt;0,+E32-D32,0)</f>
        <v>50434755</v>
      </c>
      <c r="R32" s="641">
        <f>IF(F32&gt;0,+F32-E32,0)</f>
        <v>-52879057</v>
      </c>
      <c r="S32" s="641">
        <f t="shared" si="9"/>
        <v>59523960</v>
      </c>
      <c r="T32" s="514">
        <f t="shared" ref="T32:T79" si="17">IF(C32=0,0,+S32/C32)</f>
        <v>0.34090638870593626</v>
      </c>
      <c r="U32" s="589"/>
      <c r="V32" s="690">
        <f t="shared" si="10"/>
        <v>0</v>
      </c>
      <c r="W32" s="494"/>
      <c r="X32" s="494"/>
      <c r="Y32" s="494"/>
    </row>
    <row r="33" spans="1:25" x14ac:dyDescent="0.25">
      <c r="A33" s="527" t="s">
        <v>32</v>
      </c>
      <c r="B33" s="533" t="s">
        <v>33</v>
      </c>
      <c r="C33" s="132"/>
      <c r="D33" s="570"/>
      <c r="E33" s="570">
        <v>0</v>
      </c>
      <c r="F33" s="570"/>
      <c r="G33" s="570"/>
      <c r="H33" s="503"/>
      <c r="I33" s="503"/>
      <c r="J33" s="503"/>
      <c r="K33" s="570"/>
      <c r="L33" s="637">
        <f t="shared" si="3"/>
        <v>0</v>
      </c>
      <c r="M33" s="637">
        <f t="shared" si="3"/>
        <v>0</v>
      </c>
      <c r="N33" s="637">
        <f t="shared" si="3"/>
        <v>0</v>
      </c>
      <c r="O33" s="570"/>
      <c r="P33" s="503">
        <f t="shared" ref="P33:P79" si="18">+(D33-C33)*P$8</f>
        <v>0</v>
      </c>
      <c r="Q33" s="503">
        <f t="shared" ref="Q33:Q79" si="19">+(E33-D33)*Q$8</f>
        <v>0</v>
      </c>
      <c r="R33" s="503">
        <f t="shared" ref="R33:R79" si="20">+(F33-E33)*R$8</f>
        <v>0</v>
      </c>
      <c r="S33" s="503">
        <f t="shared" si="9"/>
        <v>0</v>
      </c>
      <c r="T33" s="514">
        <f t="shared" si="17"/>
        <v>0</v>
      </c>
      <c r="U33" s="634"/>
      <c r="V33" s="690">
        <f t="shared" si="10"/>
        <v>0</v>
      </c>
      <c r="W33" s="494"/>
      <c r="X33" s="494"/>
      <c r="Y33" s="494"/>
    </row>
    <row r="34" spans="1:25" x14ac:dyDescent="0.25">
      <c r="A34" s="527" t="s">
        <v>34</v>
      </c>
      <c r="B34" s="533" t="s">
        <v>36</v>
      </c>
      <c r="C34" s="132">
        <v>1625000</v>
      </c>
      <c r="D34" s="132">
        <v>1625000</v>
      </c>
      <c r="E34" s="570">
        <v>1625000</v>
      </c>
      <c r="F34" s="570">
        <v>1926874</v>
      </c>
      <c r="G34" s="570"/>
      <c r="H34" s="503">
        <v>769677</v>
      </c>
      <c r="I34" s="503">
        <v>988237</v>
      </c>
      <c r="J34" s="503">
        <v>1925154</v>
      </c>
      <c r="K34" s="570"/>
      <c r="L34" s="637">
        <f t="shared" si="3"/>
        <v>0.47364738461538464</v>
      </c>
      <c r="M34" s="637">
        <f t="shared" si="3"/>
        <v>0.60814584615384615</v>
      </c>
      <c r="N34" s="637">
        <f t="shared" si="3"/>
        <v>0.99910736249490106</v>
      </c>
      <c r="O34" s="570"/>
      <c r="P34" s="503">
        <f t="shared" si="18"/>
        <v>0</v>
      </c>
      <c r="Q34" s="503">
        <f t="shared" si="19"/>
        <v>0</v>
      </c>
      <c r="R34" s="503">
        <f t="shared" si="20"/>
        <v>301874</v>
      </c>
      <c r="S34" s="503">
        <f t="shared" si="9"/>
        <v>301874</v>
      </c>
      <c r="T34" s="514">
        <f t="shared" si="17"/>
        <v>0.18576861538461539</v>
      </c>
      <c r="U34" s="634"/>
      <c r="V34" s="690">
        <f t="shared" si="10"/>
        <v>0</v>
      </c>
      <c r="W34" s="494"/>
      <c r="X34" s="494"/>
      <c r="Y34" s="494"/>
    </row>
    <row r="35" spans="1:25" x14ac:dyDescent="0.25">
      <c r="A35" s="527"/>
      <c r="B35" s="533" t="s">
        <v>366</v>
      </c>
      <c r="C35" s="132"/>
      <c r="D35" s="132"/>
      <c r="E35" s="570">
        <v>0</v>
      </c>
      <c r="F35" s="570"/>
      <c r="G35" s="570"/>
      <c r="H35" s="503"/>
      <c r="I35" s="503"/>
      <c r="J35" s="503"/>
      <c r="K35" s="570"/>
      <c r="L35" s="637">
        <f t="shared" si="3"/>
        <v>0</v>
      </c>
      <c r="M35" s="637">
        <f t="shared" si="3"/>
        <v>0</v>
      </c>
      <c r="N35" s="637">
        <f t="shared" si="3"/>
        <v>0</v>
      </c>
      <c r="O35" s="570"/>
      <c r="P35" s="503">
        <f t="shared" si="18"/>
        <v>0</v>
      </c>
      <c r="Q35" s="503">
        <f t="shared" si="19"/>
        <v>0</v>
      </c>
      <c r="R35" s="503">
        <f t="shared" si="20"/>
        <v>0</v>
      </c>
      <c r="S35" s="503">
        <f t="shared" si="9"/>
        <v>0</v>
      </c>
      <c r="T35" s="514">
        <f t="shared" si="17"/>
        <v>0</v>
      </c>
      <c r="U35" s="634"/>
      <c r="V35" s="690">
        <f t="shared" si="10"/>
        <v>0</v>
      </c>
      <c r="W35" s="494"/>
      <c r="X35" s="494"/>
      <c r="Y35" s="494"/>
    </row>
    <row r="36" spans="1:25" x14ac:dyDescent="0.25">
      <c r="A36" s="527" t="s">
        <v>35</v>
      </c>
      <c r="B36" s="533" t="s">
        <v>37</v>
      </c>
      <c r="C36" s="132">
        <v>11040000</v>
      </c>
      <c r="D36" s="132">
        <v>11040000</v>
      </c>
      <c r="E36" s="570">
        <v>12940000</v>
      </c>
      <c r="F36" s="570">
        <v>12886469</v>
      </c>
      <c r="G36" s="570"/>
      <c r="H36" s="503">
        <v>4114447</v>
      </c>
      <c r="I36" s="503">
        <v>9258481</v>
      </c>
      <c r="J36" s="503">
        <v>12072646</v>
      </c>
      <c r="K36" s="570"/>
      <c r="L36" s="637">
        <f t="shared" si="3"/>
        <v>0.37268541666666666</v>
      </c>
      <c r="M36" s="637">
        <f t="shared" si="3"/>
        <v>0.71549312210200933</v>
      </c>
      <c r="N36" s="637">
        <f t="shared" si="3"/>
        <v>0.93684670331337472</v>
      </c>
      <c r="O36" s="570"/>
      <c r="P36" s="503">
        <f t="shared" si="18"/>
        <v>0</v>
      </c>
      <c r="Q36" s="503">
        <f t="shared" si="19"/>
        <v>1900000</v>
      </c>
      <c r="R36" s="503">
        <f t="shared" si="20"/>
        <v>-53531</v>
      </c>
      <c r="S36" s="503">
        <f t="shared" si="9"/>
        <v>1846469</v>
      </c>
      <c r="T36" s="514">
        <f t="shared" si="17"/>
        <v>0.1672526268115942</v>
      </c>
      <c r="U36" s="634"/>
      <c r="V36" s="690">
        <f t="shared" si="10"/>
        <v>0</v>
      </c>
      <c r="W36" s="494"/>
      <c r="X36" s="494"/>
      <c r="Y36" s="494"/>
    </row>
    <row r="37" spans="1:25" ht="17.25" customHeight="1" x14ac:dyDescent="0.25">
      <c r="A37" s="527"/>
      <c r="B37" s="533" t="s">
        <v>367</v>
      </c>
      <c r="C37" s="132"/>
      <c r="D37" s="132"/>
      <c r="E37" s="570"/>
      <c r="F37" s="570"/>
      <c r="G37" s="570"/>
      <c r="H37" s="503"/>
      <c r="I37" s="503"/>
      <c r="J37" s="503"/>
      <c r="K37" s="570"/>
      <c r="L37" s="637">
        <f t="shared" si="3"/>
        <v>0</v>
      </c>
      <c r="M37" s="637">
        <f t="shared" si="3"/>
        <v>0</v>
      </c>
      <c r="N37" s="637">
        <f t="shared" si="3"/>
        <v>0</v>
      </c>
      <c r="O37" s="570"/>
      <c r="P37" s="503">
        <f t="shared" si="18"/>
        <v>0</v>
      </c>
      <c r="Q37" s="503">
        <f t="shared" si="19"/>
        <v>0</v>
      </c>
      <c r="R37" s="503">
        <f t="shared" si="20"/>
        <v>0</v>
      </c>
      <c r="S37" s="503">
        <f t="shared" si="9"/>
        <v>0</v>
      </c>
      <c r="T37" s="514">
        <f t="shared" si="17"/>
        <v>0</v>
      </c>
      <c r="U37" s="634"/>
      <c r="V37" s="690">
        <f t="shared" si="10"/>
        <v>0</v>
      </c>
      <c r="W37" s="494"/>
      <c r="X37" s="494"/>
      <c r="Y37" s="494"/>
    </row>
    <row r="38" spans="1:25" x14ac:dyDescent="0.25">
      <c r="A38" s="527"/>
      <c r="B38" s="533" t="s">
        <v>109</v>
      </c>
      <c r="C38" s="132"/>
      <c r="D38" s="132"/>
      <c r="E38" s="570"/>
      <c r="F38" s="570"/>
      <c r="G38" s="570"/>
      <c r="H38" s="503"/>
      <c r="I38" s="503"/>
      <c r="J38" s="503"/>
      <c r="K38" s="570"/>
      <c r="L38" s="637">
        <f t="shared" si="3"/>
        <v>0</v>
      </c>
      <c r="M38" s="637">
        <f t="shared" si="3"/>
        <v>0</v>
      </c>
      <c r="N38" s="637">
        <f t="shared" si="3"/>
        <v>0</v>
      </c>
      <c r="O38" s="570"/>
      <c r="P38" s="503">
        <f t="shared" si="18"/>
        <v>0</v>
      </c>
      <c r="Q38" s="503">
        <f t="shared" si="19"/>
        <v>0</v>
      </c>
      <c r="R38" s="503">
        <f t="shared" si="20"/>
        <v>0</v>
      </c>
      <c r="S38" s="503">
        <f t="shared" si="9"/>
        <v>0</v>
      </c>
      <c r="T38" s="514">
        <f t="shared" si="17"/>
        <v>0</v>
      </c>
      <c r="U38" s="634"/>
      <c r="V38" s="690">
        <f t="shared" si="10"/>
        <v>0</v>
      </c>
      <c r="W38" s="494"/>
      <c r="X38" s="494"/>
      <c r="Y38" s="494"/>
    </row>
    <row r="39" spans="1:25" x14ac:dyDescent="0.25">
      <c r="A39" s="527" t="s">
        <v>38</v>
      </c>
      <c r="B39" s="533" t="s">
        <v>39</v>
      </c>
      <c r="C39" s="132"/>
      <c r="D39" s="132"/>
      <c r="E39" s="570"/>
      <c r="F39" s="570"/>
      <c r="G39" s="570"/>
      <c r="H39" s="503"/>
      <c r="I39" s="503"/>
      <c r="J39" s="503"/>
      <c r="K39" s="570"/>
      <c r="L39" s="637">
        <f t="shared" si="3"/>
        <v>0</v>
      </c>
      <c r="M39" s="637">
        <f t="shared" si="3"/>
        <v>0</v>
      </c>
      <c r="N39" s="637">
        <f t="shared" si="3"/>
        <v>0</v>
      </c>
      <c r="O39" s="570"/>
      <c r="P39" s="503">
        <f t="shared" si="18"/>
        <v>0</v>
      </c>
      <c r="Q39" s="503">
        <f t="shared" si="19"/>
        <v>0</v>
      </c>
      <c r="R39" s="503">
        <f t="shared" si="20"/>
        <v>0</v>
      </c>
      <c r="S39" s="503">
        <f t="shared" si="9"/>
        <v>0</v>
      </c>
      <c r="T39" s="514">
        <f t="shared" si="17"/>
        <v>0</v>
      </c>
      <c r="U39" s="634"/>
      <c r="V39" s="690">
        <f t="shared" si="10"/>
        <v>0</v>
      </c>
      <c r="W39" s="494"/>
      <c r="X39" s="494"/>
      <c r="Y39" s="494"/>
    </row>
    <row r="40" spans="1:25" x14ac:dyDescent="0.25">
      <c r="A40" s="527" t="s">
        <v>40</v>
      </c>
      <c r="B40" s="533" t="s">
        <v>41</v>
      </c>
      <c r="C40" s="132">
        <v>600000</v>
      </c>
      <c r="D40" s="132">
        <v>5700000</v>
      </c>
      <c r="E40" s="570">
        <v>5700000</v>
      </c>
      <c r="F40" s="570">
        <v>5406646</v>
      </c>
      <c r="G40" s="570"/>
      <c r="H40" s="503">
        <v>3007788</v>
      </c>
      <c r="I40" s="503">
        <v>4173333</v>
      </c>
      <c r="J40" s="503">
        <v>5406646</v>
      </c>
      <c r="K40" s="570"/>
      <c r="L40" s="637">
        <f t="shared" si="3"/>
        <v>0.52768210526315784</v>
      </c>
      <c r="M40" s="637">
        <f t="shared" si="3"/>
        <v>0.73216368421052636</v>
      </c>
      <c r="N40" s="637">
        <f t="shared" si="3"/>
        <v>1</v>
      </c>
      <c r="O40" s="570"/>
      <c r="P40" s="503">
        <f t="shared" si="18"/>
        <v>5100000</v>
      </c>
      <c r="Q40" s="503">
        <f t="shared" si="19"/>
        <v>0</v>
      </c>
      <c r="R40" s="503">
        <f t="shared" si="20"/>
        <v>-293354</v>
      </c>
      <c r="S40" s="503">
        <f t="shared" si="9"/>
        <v>4806646</v>
      </c>
      <c r="T40" s="514">
        <f t="shared" si="17"/>
        <v>8.011076666666666</v>
      </c>
      <c r="U40" s="634"/>
      <c r="V40" s="690">
        <f t="shared" si="10"/>
        <v>0</v>
      </c>
      <c r="W40" s="494"/>
      <c r="X40" s="494"/>
      <c r="Y40" s="494"/>
    </row>
    <row r="41" spans="1:25" x14ac:dyDescent="0.25">
      <c r="A41" s="527"/>
      <c r="B41" s="533" t="s">
        <v>42</v>
      </c>
      <c r="C41" s="132"/>
      <c r="D41" s="132"/>
      <c r="E41" s="570"/>
      <c r="F41" s="570"/>
      <c r="G41" s="570"/>
      <c r="H41" s="503"/>
      <c r="I41" s="503"/>
      <c r="J41" s="503"/>
      <c r="K41" s="570"/>
      <c r="L41" s="637">
        <f t="shared" si="3"/>
        <v>0</v>
      </c>
      <c r="M41" s="637">
        <f t="shared" si="3"/>
        <v>0</v>
      </c>
      <c r="N41" s="637">
        <f t="shared" si="3"/>
        <v>0</v>
      </c>
      <c r="O41" s="570"/>
      <c r="P41" s="503">
        <f t="shared" si="18"/>
        <v>0</v>
      </c>
      <c r="Q41" s="503">
        <f t="shared" si="19"/>
        <v>0</v>
      </c>
      <c r="R41" s="503">
        <f t="shared" si="20"/>
        <v>0</v>
      </c>
      <c r="S41" s="503">
        <f t="shared" si="9"/>
        <v>0</v>
      </c>
      <c r="T41" s="514">
        <f t="shared" si="17"/>
        <v>0</v>
      </c>
      <c r="U41" s="634"/>
      <c r="V41" s="690">
        <f t="shared" si="10"/>
        <v>0</v>
      </c>
      <c r="W41" s="494"/>
      <c r="X41" s="494"/>
      <c r="Y41" s="494"/>
    </row>
    <row r="42" spans="1:25" x14ac:dyDescent="0.25">
      <c r="A42" s="527"/>
      <c r="B42" s="533" t="s">
        <v>43</v>
      </c>
      <c r="C42" s="132"/>
      <c r="D42" s="132"/>
      <c r="E42" s="570"/>
      <c r="F42" s="570"/>
      <c r="G42" s="570"/>
      <c r="H42" s="503"/>
      <c r="I42" s="503"/>
      <c r="J42" s="503"/>
      <c r="K42" s="570"/>
      <c r="L42" s="637">
        <f t="shared" si="3"/>
        <v>0</v>
      </c>
      <c r="M42" s="637">
        <f t="shared" si="3"/>
        <v>0</v>
      </c>
      <c r="N42" s="637">
        <f t="shared" si="3"/>
        <v>0</v>
      </c>
      <c r="O42" s="570"/>
      <c r="P42" s="503">
        <f t="shared" si="18"/>
        <v>0</v>
      </c>
      <c r="Q42" s="503">
        <f t="shared" si="19"/>
        <v>0</v>
      </c>
      <c r="R42" s="503">
        <f t="shared" si="20"/>
        <v>0</v>
      </c>
      <c r="S42" s="503">
        <f t="shared" si="9"/>
        <v>0</v>
      </c>
      <c r="T42" s="514">
        <f t="shared" si="17"/>
        <v>0</v>
      </c>
      <c r="U42" s="634"/>
      <c r="V42" s="690">
        <f t="shared" si="10"/>
        <v>0</v>
      </c>
      <c r="W42" s="494"/>
      <c r="X42" s="494"/>
      <c r="Y42" s="494"/>
    </row>
    <row r="43" spans="1:25" x14ac:dyDescent="0.25">
      <c r="A43" s="527"/>
      <c r="B43" s="533" t="s">
        <v>44</v>
      </c>
      <c r="C43" s="132"/>
      <c r="D43" s="132"/>
      <c r="E43" s="570"/>
      <c r="F43" s="570"/>
      <c r="G43" s="570"/>
      <c r="H43" s="503"/>
      <c r="I43" s="503"/>
      <c r="J43" s="503"/>
      <c r="K43" s="570"/>
      <c r="L43" s="637">
        <f t="shared" si="3"/>
        <v>0</v>
      </c>
      <c r="M43" s="637">
        <f t="shared" si="3"/>
        <v>0</v>
      </c>
      <c r="N43" s="637">
        <f t="shared" si="3"/>
        <v>0</v>
      </c>
      <c r="O43" s="570"/>
      <c r="P43" s="503">
        <f t="shared" si="18"/>
        <v>0</v>
      </c>
      <c r="Q43" s="503">
        <f t="shared" si="19"/>
        <v>0</v>
      </c>
      <c r="R43" s="503">
        <f t="shared" si="20"/>
        <v>0</v>
      </c>
      <c r="S43" s="503">
        <f t="shared" si="9"/>
        <v>0</v>
      </c>
      <c r="T43" s="514">
        <f t="shared" si="17"/>
        <v>0</v>
      </c>
      <c r="U43" s="634"/>
      <c r="V43" s="690">
        <f t="shared" si="10"/>
        <v>0</v>
      </c>
      <c r="W43" s="494"/>
      <c r="X43" s="494"/>
      <c r="Y43" s="494"/>
    </row>
    <row r="44" spans="1:25" x14ac:dyDescent="0.25">
      <c r="A44" s="527" t="s">
        <v>45</v>
      </c>
      <c r="B44" s="533" t="s">
        <v>46</v>
      </c>
      <c r="C44" s="132">
        <v>2050000</v>
      </c>
      <c r="D44" s="132">
        <v>2350000</v>
      </c>
      <c r="E44" s="570">
        <v>2350000</v>
      </c>
      <c r="F44" s="570">
        <v>1284737</v>
      </c>
      <c r="G44" s="570"/>
      <c r="H44" s="503">
        <v>698968</v>
      </c>
      <c r="I44" s="503">
        <v>1041166</v>
      </c>
      <c r="J44" s="503">
        <v>1272738</v>
      </c>
      <c r="K44" s="570"/>
      <c r="L44" s="637">
        <f t="shared" si="3"/>
        <v>0.2974331914893617</v>
      </c>
      <c r="M44" s="637">
        <f t="shared" si="3"/>
        <v>0.44304936170212766</v>
      </c>
      <c r="N44" s="637">
        <f t="shared" si="3"/>
        <v>0.99066034526910951</v>
      </c>
      <c r="O44" s="570"/>
      <c r="P44" s="503">
        <f t="shared" si="18"/>
        <v>300000</v>
      </c>
      <c r="Q44" s="503">
        <f t="shared" si="19"/>
        <v>0</v>
      </c>
      <c r="R44" s="503">
        <f t="shared" si="20"/>
        <v>-1065263</v>
      </c>
      <c r="S44" s="503">
        <f t="shared" si="9"/>
        <v>-765263</v>
      </c>
      <c r="T44" s="514">
        <f t="shared" si="17"/>
        <v>-0.37329902439024393</v>
      </c>
      <c r="U44" s="634"/>
      <c r="V44" s="690">
        <f t="shared" si="10"/>
        <v>0</v>
      </c>
      <c r="W44" s="494"/>
      <c r="X44" s="494"/>
      <c r="Y44" s="494"/>
    </row>
    <row r="45" spans="1:25" x14ac:dyDescent="0.25">
      <c r="A45" s="527"/>
      <c r="B45" s="533" t="s">
        <v>47</v>
      </c>
      <c r="C45" s="132"/>
      <c r="D45" s="132"/>
      <c r="E45" s="570"/>
      <c r="F45" s="570"/>
      <c r="G45" s="570"/>
      <c r="H45" s="503"/>
      <c r="I45" s="503"/>
      <c r="J45" s="503"/>
      <c r="K45" s="570"/>
      <c r="L45" s="637">
        <f t="shared" si="3"/>
        <v>0</v>
      </c>
      <c r="M45" s="637">
        <f t="shared" si="3"/>
        <v>0</v>
      </c>
      <c r="N45" s="637">
        <f t="shared" si="3"/>
        <v>0</v>
      </c>
      <c r="O45" s="570"/>
      <c r="P45" s="503">
        <f t="shared" si="18"/>
        <v>0</v>
      </c>
      <c r="Q45" s="503">
        <f t="shared" si="19"/>
        <v>0</v>
      </c>
      <c r="R45" s="503">
        <f t="shared" si="20"/>
        <v>0</v>
      </c>
      <c r="S45" s="503">
        <f t="shared" si="9"/>
        <v>0</v>
      </c>
      <c r="T45" s="514">
        <f t="shared" si="17"/>
        <v>0</v>
      </c>
      <c r="U45" s="634"/>
      <c r="V45" s="690">
        <f t="shared" si="10"/>
        <v>0</v>
      </c>
      <c r="W45" s="494"/>
      <c r="X45" s="494"/>
      <c r="Y45" s="494"/>
    </row>
    <row r="46" spans="1:25" x14ac:dyDescent="0.25">
      <c r="A46" s="527" t="s">
        <v>48</v>
      </c>
      <c r="B46" s="533" t="s">
        <v>49</v>
      </c>
      <c r="C46" s="132"/>
      <c r="D46" s="570"/>
      <c r="E46" s="570"/>
      <c r="F46" s="570"/>
      <c r="G46" s="570"/>
      <c r="H46" s="503"/>
      <c r="I46" s="503"/>
      <c r="J46" s="503"/>
      <c r="K46" s="570"/>
      <c r="L46" s="637">
        <f t="shared" si="3"/>
        <v>0</v>
      </c>
      <c r="M46" s="637">
        <f t="shared" si="3"/>
        <v>0</v>
      </c>
      <c r="N46" s="637">
        <f t="shared" si="3"/>
        <v>0</v>
      </c>
      <c r="O46" s="570"/>
      <c r="P46" s="503">
        <f t="shared" si="18"/>
        <v>0</v>
      </c>
      <c r="Q46" s="503">
        <f t="shared" si="19"/>
        <v>0</v>
      </c>
      <c r="R46" s="503">
        <f t="shared" si="20"/>
        <v>0</v>
      </c>
      <c r="S46" s="503">
        <f t="shared" si="9"/>
        <v>0</v>
      </c>
      <c r="T46" s="514">
        <f t="shared" si="17"/>
        <v>0</v>
      </c>
      <c r="U46" s="634"/>
      <c r="V46" s="690">
        <f t="shared" si="10"/>
        <v>0</v>
      </c>
      <c r="W46" s="494"/>
      <c r="X46" s="494"/>
      <c r="Y46" s="494"/>
    </row>
    <row r="47" spans="1:25" x14ac:dyDescent="0.25">
      <c r="A47" s="527" t="s">
        <v>50</v>
      </c>
      <c r="B47" s="533" t="s">
        <v>51</v>
      </c>
      <c r="C47" s="132">
        <v>20000000</v>
      </c>
      <c r="D47" s="570">
        <v>20900000</v>
      </c>
      <c r="E47" s="570">
        <v>20900000</v>
      </c>
      <c r="F47" s="570">
        <v>12004220</v>
      </c>
      <c r="G47" s="570"/>
      <c r="H47" s="503">
        <v>7269947</v>
      </c>
      <c r="I47" s="503">
        <v>9059263</v>
      </c>
      <c r="J47" s="503">
        <v>11950843</v>
      </c>
      <c r="K47" s="570"/>
      <c r="L47" s="637">
        <f t="shared" si="3"/>
        <v>0.34784435406698566</v>
      </c>
      <c r="M47" s="637">
        <f t="shared" si="3"/>
        <v>0.43345755980861245</v>
      </c>
      <c r="N47" s="637">
        <f t="shared" si="3"/>
        <v>0.99555348035940694</v>
      </c>
      <c r="O47" s="570"/>
      <c r="P47" s="503">
        <f t="shared" si="18"/>
        <v>900000</v>
      </c>
      <c r="Q47" s="503">
        <f t="shared" si="19"/>
        <v>0</v>
      </c>
      <c r="R47" s="503">
        <f t="shared" si="20"/>
        <v>-8895780</v>
      </c>
      <c r="S47" s="503">
        <f t="shared" si="9"/>
        <v>-7995780</v>
      </c>
      <c r="T47" s="514">
        <f t="shared" si="17"/>
        <v>-0.39978900000000001</v>
      </c>
      <c r="U47" s="634"/>
      <c r="V47" s="690">
        <f t="shared" si="10"/>
        <v>0</v>
      </c>
      <c r="W47" s="494"/>
      <c r="X47" s="494"/>
      <c r="Y47" s="494"/>
    </row>
    <row r="48" spans="1:25" x14ac:dyDescent="0.25">
      <c r="A48" s="527"/>
      <c r="B48" s="533" t="s">
        <v>98</v>
      </c>
      <c r="C48" s="132"/>
      <c r="D48" s="570"/>
      <c r="E48" s="570"/>
      <c r="F48" s="570"/>
      <c r="G48" s="570"/>
      <c r="H48" s="503"/>
      <c r="I48" s="503"/>
      <c r="J48" s="503"/>
      <c r="K48" s="570"/>
      <c r="L48" s="637">
        <f t="shared" si="3"/>
        <v>0</v>
      </c>
      <c r="M48" s="637">
        <f t="shared" si="3"/>
        <v>0</v>
      </c>
      <c r="N48" s="637">
        <f t="shared" si="3"/>
        <v>0</v>
      </c>
      <c r="O48" s="570"/>
      <c r="P48" s="503">
        <f t="shared" si="18"/>
        <v>0</v>
      </c>
      <c r="Q48" s="503">
        <f t="shared" si="19"/>
        <v>0</v>
      </c>
      <c r="R48" s="503">
        <f t="shared" si="20"/>
        <v>0</v>
      </c>
      <c r="S48" s="503">
        <f t="shared" si="9"/>
        <v>0</v>
      </c>
      <c r="T48" s="514">
        <f t="shared" si="17"/>
        <v>0</v>
      </c>
      <c r="U48" s="634"/>
      <c r="V48" s="690">
        <f t="shared" si="10"/>
        <v>0</v>
      </c>
      <c r="W48" s="494"/>
      <c r="X48" s="494"/>
      <c r="Y48" s="494"/>
    </row>
    <row r="49" spans="1:25" x14ac:dyDescent="0.25">
      <c r="A49" s="527"/>
      <c r="B49" s="533" t="s">
        <v>99</v>
      </c>
      <c r="C49" s="132"/>
      <c r="D49" s="570"/>
      <c r="E49" s="570"/>
      <c r="F49" s="570"/>
      <c r="G49" s="570"/>
      <c r="H49" s="503"/>
      <c r="I49" s="503"/>
      <c r="J49" s="503"/>
      <c r="K49" s="570"/>
      <c r="L49" s="637">
        <f t="shared" si="3"/>
        <v>0</v>
      </c>
      <c r="M49" s="637">
        <f t="shared" si="3"/>
        <v>0</v>
      </c>
      <c r="N49" s="637">
        <f t="shared" si="3"/>
        <v>0</v>
      </c>
      <c r="O49" s="570"/>
      <c r="P49" s="503">
        <f t="shared" si="18"/>
        <v>0</v>
      </c>
      <c r="Q49" s="503">
        <f t="shared" si="19"/>
        <v>0</v>
      </c>
      <c r="R49" s="503">
        <f t="shared" si="20"/>
        <v>0</v>
      </c>
      <c r="S49" s="503">
        <f t="shared" si="9"/>
        <v>0</v>
      </c>
      <c r="T49" s="514">
        <f t="shared" si="17"/>
        <v>0</v>
      </c>
      <c r="U49" s="634"/>
      <c r="V49" s="690">
        <f t="shared" si="10"/>
        <v>0</v>
      </c>
      <c r="W49" s="494"/>
      <c r="X49" s="494"/>
      <c r="Y49" s="494"/>
    </row>
    <row r="50" spans="1:25" x14ac:dyDescent="0.25">
      <c r="A50" s="527"/>
      <c r="B50" s="533" t="s">
        <v>100</v>
      </c>
      <c r="C50" s="132"/>
      <c r="D50" s="570"/>
      <c r="E50" s="570"/>
      <c r="F50" s="570"/>
      <c r="G50" s="570"/>
      <c r="H50" s="503"/>
      <c r="I50" s="503"/>
      <c r="J50" s="503"/>
      <c r="K50" s="570"/>
      <c r="L50" s="637">
        <f t="shared" si="3"/>
        <v>0</v>
      </c>
      <c r="M50" s="637">
        <f t="shared" si="3"/>
        <v>0</v>
      </c>
      <c r="N50" s="637">
        <f t="shared" si="3"/>
        <v>0</v>
      </c>
      <c r="O50" s="570"/>
      <c r="P50" s="503">
        <f t="shared" si="18"/>
        <v>0</v>
      </c>
      <c r="Q50" s="503">
        <f t="shared" si="19"/>
        <v>0</v>
      </c>
      <c r="R50" s="503">
        <f t="shared" si="20"/>
        <v>0</v>
      </c>
      <c r="S50" s="503">
        <f t="shared" si="9"/>
        <v>0</v>
      </c>
      <c r="T50" s="514">
        <f t="shared" si="17"/>
        <v>0</v>
      </c>
      <c r="U50" s="634"/>
      <c r="V50" s="690">
        <f t="shared" si="10"/>
        <v>0</v>
      </c>
      <c r="W50" s="494"/>
      <c r="X50" s="494"/>
      <c r="Y50" s="494"/>
    </row>
    <row r="51" spans="1:25" x14ac:dyDescent="0.25">
      <c r="A51" s="527" t="s">
        <v>52</v>
      </c>
      <c r="B51" s="533" t="s">
        <v>53</v>
      </c>
      <c r="C51" s="132">
        <v>0</v>
      </c>
      <c r="D51" s="132">
        <v>0</v>
      </c>
      <c r="E51" s="570">
        <v>0</v>
      </c>
      <c r="F51" s="570"/>
      <c r="G51" s="570"/>
      <c r="H51" s="503">
        <v>0</v>
      </c>
      <c r="I51" s="503">
        <v>0</v>
      </c>
      <c r="J51" s="503"/>
      <c r="K51" s="570"/>
      <c r="L51" s="637">
        <f t="shared" si="3"/>
        <v>0</v>
      </c>
      <c r="M51" s="637">
        <f t="shared" si="3"/>
        <v>0</v>
      </c>
      <c r="N51" s="637">
        <f t="shared" si="3"/>
        <v>0</v>
      </c>
      <c r="O51" s="570"/>
      <c r="P51" s="503">
        <f t="shared" si="18"/>
        <v>0</v>
      </c>
      <c r="Q51" s="503">
        <f t="shared" si="19"/>
        <v>0</v>
      </c>
      <c r="R51" s="503">
        <f t="shared" si="20"/>
        <v>0</v>
      </c>
      <c r="S51" s="503">
        <f t="shared" si="9"/>
        <v>0</v>
      </c>
      <c r="T51" s="514">
        <f t="shared" si="17"/>
        <v>0</v>
      </c>
      <c r="U51" s="634"/>
      <c r="V51" s="690">
        <f t="shared" si="10"/>
        <v>0</v>
      </c>
      <c r="W51" s="494"/>
      <c r="X51" s="494"/>
      <c r="Y51" s="494"/>
    </row>
    <row r="52" spans="1:25" x14ac:dyDescent="0.25">
      <c r="A52" s="527"/>
      <c r="B52" s="533" t="s">
        <v>91</v>
      </c>
      <c r="C52" s="132"/>
      <c r="D52" s="570"/>
      <c r="E52" s="570"/>
      <c r="F52" s="570"/>
      <c r="G52" s="570"/>
      <c r="H52" s="503"/>
      <c r="I52" s="503"/>
      <c r="J52" s="503"/>
      <c r="K52" s="570"/>
      <c r="L52" s="637">
        <f t="shared" si="3"/>
        <v>0</v>
      </c>
      <c r="M52" s="637">
        <f t="shared" si="3"/>
        <v>0</v>
      </c>
      <c r="N52" s="637">
        <f t="shared" si="3"/>
        <v>0</v>
      </c>
      <c r="O52" s="570"/>
      <c r="P52" s="503">
        <f t="shared" si="18"/>
        <v>0</v>
      </c>
      <c r="Q52" s="503">
        <f t="shared" si="19"/>
        <v>0</v>
      </c>
      <c r="R52" s="503">
        <f t="shared" si="20"/>
        <v>0</v>
      </c>
      <c r="S52" s="503">
        <f t="shared" si="9"/>
        <v>0</v>
      </c>
      <c r="T52" s="514">
        <f t="shared" si="17"/>
        <v>0</v>
      </c>
      <c r="U52" s="634"/>
      <c r="V52" s="690">
        <f t="shared" si="10"/>
        <v>0</v>
      </c>
      <c r="W52" s="494"/>
      <c r="X52" s="494"/>
      <c r="Y52" s="494"/>
    </row>
    <row r="53" spans="1:25" x14ac:dyDescent="0.25">
      <c r="A53" s="527"/>
      <c r="B53" s="533" t="s">
        <v>54</v>
      </c>
      <c r="C53" s="132"/>
      <c r="D53" s="570"/>
      <c r="E53" s="570"/>
      <c r="F53" s="570"/>
      <c r="G53" s="570"/>
      <c r="H53" s="503"/>
      <c r="I53" s="503"/>
      <c r="J53" s="503"/>
      <c r="K53" s="570"/>
      <c r="L53" s="637">
        <f t="shared" si="3"/>
        <v>0</v>
      </c>
      <c r="M53" s="637">
        <f t="shared" si="3"/>
        <v>0</v>
      </c>
      <c r="N53" s="637">
        <f t="shared" si="3"/>
        <v>0</v>
      </c>
      <c r="O53" s="570"/>
      <c r="P53" s="503">
        <f t="shared" si="18"/>
        <v>0</v>
      </c>
      <c r="Q53" s="503">
        <f t="shared" si="19"/>
        <v>0</v>
      </c>
      <c r="R53" s="503">
        <f t="shared" si="20"/>
        <v>0</v>
      </c>
      <c r="S53" s="503">
        <f t="shared" si="9"/>
        <v>0</v>
      </c>
      <c r="T53" s="514">
        <f t="shared" si="17"/>
        <v>0</v>
      </c>
      <c r="U53" s="634"/>
      <c r="V53" s="690">
        <f t="shared" si="10"/>
        <v>0</v>
      </c>
      <c r="W53" s="494"/>
      <c r="X53" s="494"/>
      <c r="Y53" s="494"/>
    </row>
    <row r="54" spans="1:25" x14ac:dyDescent="0.25">
      <c r="A54" s="527" t="s">
        <v>55</v>
      </c>
      <c r="B54" s="533" t="s">
        <v>56</v>
      </c>
      <c r="C54" s="132">
        <v>1500000</v>
      </c>
      <c r="D54" s="570">
        <v>1500000</v>
      </c>
      <c r="E54" s="570">
        <v>2300000</v>
      </c>
      <c r="F54" s="570">
        <v>2360758</v>
      </c>
      <c r="G54" s="570"/>
      <c r="H54" s="503">
        <v>600000</v>
      </c>
      <c r="I54" s="503">
        <v>1681525</v>
      </c>
      <c r="J54" s="503">
        <v>1981525</v>
      </c>
      <c r="K54" s="570"/>
      <c r="L54" s="637">
        <f t="shared" si="3"/>
        <v>0.4</v>
      </c>
      <c r="M54" s="637">
        <f t="shared" si="3"/>
        <v>0.7310978260869565</v>
      </c>
      <c r="N54" s="637">
        <f t="shared" si="3"/>
        <v>0.83935964635087545</v>
      </c>
      <c r="O54" s="570"/>
      <c r="P54" s="503">
        <f t="shared" si="18"/>
        <v>0</v>
      </c>
      <c r="Q54" s="503">
        <f t="shared" si="19"/>
        <v>800000</v>
      </c>
      <c r="R54" s="503">
        <f t="shared" si="20"/>
        <v>60758</v>
      </c>
      <c r="S54" s="503">
        <f t="shared" si="9"/>
        <v>860758</v>
      </c>
      <c r="T54" s="514">
        <f t="shared" si="17"/>
        <v>0.57383866666666672</v>
      </c>
      <c r="U54" s="634"/>
      <c r="V54" s="690">
        <f t="shared" si="10"/>
        <v>0</v>
      </c>
      <c r="W54" s="494"/>
      <c r="X54" s="494"/>
      <c r="Y54" s="494"/>
    </row>
    <row r="55" spans="1:25" x14ac:dyDescent="0.25">
      <c r="A55" s="527"/>
      <c r="B55" s="533" t="s">
        <v>57</v>
      </c>
      <c r="C55" s="132"/>
      <c r="D55" s="570"/>
      <c r="E55" s="570"/>
      <c r="F55" s="570"/>
      <c r="G55" s="570"/>
      <c r="H55" s="503"/>
      <c r="I55" s="503"/>
      <c r="J55" s="503"/>
      <c r="K55" s="570"/>
      <c r="L55" s="637">
        <f t="shared" si="3"/>
        <v>0</v>
      </c>
      <c r="M55" s="637">
        <f t="shared" si="3"/>
        <v>0</v>
      </c>
      <c r="N55" s="637">
        <f t="shared" si="3"/>
        <v>0</v>
      </c>
      <c r="O55" s="570"/>
      <c r="P55" s="503">
        <f t="shared" si="18"/>
        <v>0</v>
      </c>
      <c r="Q55" s="503">
        <f t="shared" si="19"/>
        <v>0</v>
      </c>
      <c r="R55" s="503">
        <f t="shared" si="20"/>
        <v>0</v>
      </c>
      <c r="S55" s="503">
        <f t="shared" si="9"/>
        <v>0</v>
      </c>
      <c r="T55" s="514">
        <f t="shared" si="17"/>
        <v>0</v>
      </c>
      <c r="U55" s="634"/>
      <c r="V55" s="690">
        <f t="shared" si="10"/>
        <v>0</v>
      </c>
      <c r="W55" s="494"/>
      <c r="X55" s="494"/>
      <c r="Y55" s="494"/>
    </row>
    <row r="56" spans="1:25" x14ac:dyDescent="0.25">
      <c r="A56" s="527" t="s">
        <v>58</v>
      </c>
      <c r="B56" s="533" t="s">
        <v>92</v>
      </c>
      <c r="C56" s="132">
        <v>6500000</v>
      </c>
      <c r="D56" s="570">
        <v>17520429</v>
      </c>
      <c r="E56" s="570">
        <v>17520429</v>
      </c>
      <c r="F56" s="570">
        <v>25901261</v>
      </c>
      <c r="G56" s="570"/>
      <c r="H56" s="503">
        <v>13132250</v>
      </c>
      <c r="I56" s="503">
        <v>13570607</v>
      </c>
      <c r="J56" s="503">
        <v>25599332</v>
      </c>
      <c r="K56" s="570"/>
      <c r="L56" s="637">
        <f t="shared" si="3"/>
        <v>0.74953929495676164</v>
      </c>
      <c r="M56" s="637">
        <f t="shared" si="3"/>
        <v>0.77455905902760713</v>
      </c>
      <c r="N56" s="637">
        <f t="shared" si="3"/>
        <v>0.98834307719612569</v>
      </c>
      <c r="O56" s="570"/>
      <c r="P56" s="503">
        <f t="shared" si="18"/>
        <v>11020429</v>
      </c>
      <c r="Q56" s="503">
        <f t="shared" si="19"/>
        <v>0</v>
      </c>
      <c r="R56" s="503">
        <f t="shared" si="20"/>
        <v>8380832</v>
      </c>
      <c r="S56" s="503">
        <f t="shared" si="9"/>
        <v>19401261</v>
      </c>
      <c r="T56" s="514">
        <f t="shared" si="17"/>
        <v>2.9848093846153847</v>
      </c>
      <c r="U56" s="634"/>
      <c r="V56" s="690">
        <f t="shared" si="10"/>
        <v>0</v>
      </c>
      <c r="W56" s="494"/>
      <c r="X56" s="494"/>
      <c r="Y56" s="494"/>
    </row>
    <row r="57" spans="1:25" x14ac:dyDescent="0.25">
      <c r="A57" s="527"/>
      <c r="B57" s="533" t="s">
        <v>59</v>
      </c>
      <c r="C57" s="132"/>
      <c r="D57" s="570"/>
      <c r="E57" s="570"/>
      <c r="F57" s="570"/>
      <c r="G57" s="570"/>
      <c r="H57" s="503"/>
      <c r="I57" s="503"/>
      <c r="J57" s="503"/>
      <c r="K57" s="570"/>
      <c r="L57" s="637">
        <f t="shared" si="3"/>
        <v>0</v>
      </c>
      <c r="M57" s="637">
        <f t="shared" si="3"/>
        <v>0</v>
      </c>
      <c r="N57" s="637">
        <f t="shared" si="3"/>
        <v>0</v>
      </c>
      <c r="O57" s="570"/>
      <c r="P57" s="503">
        <f t="shared" si="18"/>
        <v>0</v>
      </c>
      <c r="Q57" s="503">
        <f t="shared" si="19"/>
        <v>0</v>
      </c>
      <c r="R57" s="503">
        <f t="shared" si="20"/>
        <v>0</v>
      </c>
      <c r="S57" s="503">
        <f t="shared" si="9"/>
        <v>0</v>
      </c>
      <c r="T57" s="514">
        <f t="shared" si="17"/>
        <v>0</v>
      </c>
      <c r="U57" s="634"/>
      <c r="V57" s="690">
        <f t="shared" si="10"/>
        <v>0</v>
      </c>
      <c r="W57" s="494"/>
      <c r="X57" s="494"/>
      <c r="Y57" s="494"/>
    </row>
    <row r="58" spans="1:25" x14ac:dyDescent="0.25">
      <c r="A58" s="527" t="s">
        <v>60</v>
      </c>
      <c r="B58" s="533" t="s">
        <v>61</v>
      </c>
      <c r="C58" s="132">
        <v>25000000</v>
      </c>
      <c r="D58" s="132">
        <v>35000000</v>
      </c>
      <c r="E58" s="570">
        <v>33500000</v>
      </c>
      <c r="F58" s="570">
        <v>22103055</v>
      </c>
      <c r="G58" s="570"/>
      <c r="H58" s="503">
        <v>16957866</v>
      </c>
      <c r="I58" s="503">
        <v>19358092</v>
      </c>
      <c r="J58" s="503">
        <v>22100983</v>
      </c>
      <c r="K58" s="570"/>
      <c r="L58" s="637">
        <f t="shared" si="3"/>
        <v>0.48451045714285712</v>
      </c>
      <c r="M58" s="637">
        <f t="shared" si="3"/>
        <v>0.57785349253731344</v>
      </c>
      <c r="N58" s="637">
        <f t="shared" si="3"/>
        <v>0.99990625730244076</v>
      </c>
      <c r="O58" s="570"/>
      <c r="P58" s="503">
        <f t="shared" si="18"/>
        <v>10000000</v>
      </c>
      <c r="Q58" s="503">
        <f t="shared" si="19"/>
        <v>-1500000</v>
      </c>
      <c r="R58" s="503">
        <f t="shared" si="20"/>
        <v>-11396945</v>
      </c>
      <c r="S58" s="503">
        <f t="shared" si="9"/>
        <v>-2896945</v>
      </c>
      <c r="T58" s="514">
        <f t="shared" si="17"/>
        <v>-0.1158778</v>
      </c>
      <c r="U58" s="634"/>
      <c r="V58" s="690">
        <f t="shared" si="10"/>
        <v>0</v>
      </c>
      <c r="W58" s="494"/>
      <c r="X58" s="494"/>
      <c r="Y58" s="494"/>
    </row>
    <row r="59" spans="1:25" ht="26.4" x14ac:dyDescent="0.25">
      <c r="A59" s="533"/>
      <c r="B59" s="533" t="s">
        <v>62</v>
      </c>
      <c r="C59" s="132"/>
      <c r="D59" s="570"/>
      <c r="E59" s="570"/>
      <c r="F59" s="570"/>
      <c r="G59" s="570"/>
      <c r="H59" s="503"/>
      <c r="I59" s="503"/>
      <c r="J59" s="503"/>
      <c r="K59" s="570"/>
      <c r="L59" s="637">
        <f t="shared" si="3"/>
        <v>0</v>
      </c>
      <c r="M59" s="637">
        <f t="shared" si="3"/>
        <v>0</v>
      </c>
      <c r="N59" s="637">
        <f t="shared" si="3"/>
        <v>0</v>
      </c>
      <c r="O59" s="570"/>
      <c r="P59" s="503">
        <f t="shared" si="18"/>
        <v>0</v>
      </c>
      <c r="Q59" s="503">
        <f t="shared" si="19"/>
        <v>0</v>
      </c>
      <c r="R59" s="503">
        <f t="shared" si="20"/>
        <v>0</v>
      </c>
      <c r="S59" s="503">
        <f t="shared" si="9"/>
        <v>0</v>
      </c>
      <c r="T59" s="514">
        <f t="shared" si="17"/>
        <v>0</v>
      </c>
      <c r="U59" s="634"/>
      <c r="V59" s="690">
        <f t="shared" si="10"/>
        <v>0</v>
      </c>
      <c r="W59" s="494"/>
      <c r="X59" s="494"/>
      <c r="Y59" s="494"/>
    </row>
    <row r="60" spans="1:25" x14ac:dyDescent="0.25">
      <c r="A60" s="527" t="s">
        <v>63</v>
      </c>
      <c r="B60" s="533" t="s">
        <v>64</v>
      </c>
      <c r="C60" s="132">
        <v>1700000</v>
      </c>
      <c r="D60" s="132">
        <v>1700000</v>
      </c>
      <c r="E60" s="570">
        <v>1700000</v>
      </c>
      <c r="F60" s="570">
        <v>1160356</v>
      </c>
      <c r="G60" s="570"/>
      <c r="H60" s="503">
        <v>459556</v>
      </c>
      <c r="I60" s="503">
        <v>914356</v>
      </c>
      <c r="J60" s="503">
        <v>1060856</v>
      </c>
      <c r="K60" s="570"/>
      <c r="L60" s="637">
        <f t="shared" si="3"/>
        <v>0.27032705882352942</v>
      </c>
      <c r="M60" s="637">
        <f t="shared" si="3"/>
        <v>0.53785647058823527</v>
      </c>
      <c r="N60" s="637">
        <f t="shared" si="3"/>
        <v>0.91425045417096129</v>
      </c>
      <c r="O60" s="570"/>
      <c r="P60" s="503">
        <f t="shared" si="18"/>
        <v>0</v>
      </c>
      <c r="Q60" s="503">
        <f t="shared" si="19"/>
        <v>0</v>
      </c>
      <c r="R60" s="503">
        <f t="shared" si="20"/>
        <v>-539644</v>
      </c>
      <c r="S60" s="503">
        <f t="shared" si="9"/>
        <v>-539644</v>
      </c>
      <c r="T60" s="514">
        <f t="shared" si="17"/>
        <v>-0.31743764705882355</v>
      </c>
      <c r="U60" s="634"/>
      <c r="V60" s="690">
        <f t="shared" si="10"/>
        <v>0</v>
      </c>
      <c r="W60" s="494"/>
      <c r="X60" s="494"/>
      <c r="Y60" s="494"/>
    </row>
    <row r="61" spans="1:25" ht="66" x14ac:dyDescent="0.25">
      <c r="A61" s="527"/>
      <c r="B61" s="533" t="s">
        <v>365</v>
      </c>
      <c r="C61" s="132"/>
      <c r="D61" s="570"/>
      <c r="E61" s="570"/>
      <c r="F61" s="570"/>
      <c r="G61" s="570"/>
      <c r="H61" s="503"/>
      <c r="I61" s="503"/>
      <c r="J61" s="503"/>
      <c r="K61" s="570"/>
      <c r="L61" s="637">
        <f t="shared" si="3"/>
        <v>0</v>
      </c>
      <c r="M61" s="637">
        <f t="shared" si="3"/>
        <v>0</v>
      </c>
      <c r="N61" s="637">
        <f t="shared" si="3"/>
        <v>0</v>
      </c>
      <c r="O61" s="570"/>
      <c r="P61" s="503">
        <f t="shared" si="18"/>
        <v>0</v>
      </c>
      <c r="Q61" s="503">
        <f t="shared" si="19"/>
        <v>0</v>
      </c>
      <c r="R61" s="503">
        <f t="shared" si="20"/>
        <v>0</v>
      </c>
      <c r="S61" s="503">
        <f t="shared" si="9"/>
        <v>0</v>
      </c>
      <c r="T61" s="514">
        <f t="shared" si="17"/>
        <v>0</v>
      </c>
      <c r="U61" s="634"/>
      <c r="V61" s="690">
        <f t="shared" si="10"/>
        <v>0</v>
      </c>
      <c r="W61" s="494"/>
      <c r="X61" s="494"/>
      <c r="Y61" s="494"/>
    </row>
    <row r="62" spans="1:25" x14ac:dyDescent="0.25">
      <c r="A62" s="527" t="s">
        <v>65</v>
      </c>
      <c r="B62" s="533" t="s">
        <v>66</v>
      </c>
      <c r="C62" s="132">
        <v>53000000</v>
      </c>
      <c r="D62" s="132">
        <v>45087833</v>
      </c>
      <c r="E62" s="570">
        <v>94322588</v>
      </c>
      <c r="F62" s="570">
        <v>86630363</v>
      </c>
      <c r="G62" s="570"/>
      <c r="H62" s="503">
        <v>18742850</v>
      </c>
      <c r="I62" s="503">
        <v>77943864</v>
      </c>
      <c r="J62" s="503">
        <v>85592577</v>
      </c>
      <c r="K62" s="570"/>
      <c r="L62" s="637">
        <f t="shared" si="3"/>
        <v>0.41569640306288397</v>
      </c>
      <c r="M62" s="637">
        <f t="shared" si="3"/>
        <v>0.82635417085884033</v>
      </c>
      <c r="N62" s="637">
        <f t="shared" si="3"/>
        <v>0.98802052809128826</v>
      </c>
      <c r="O62" s="570"/>
      <c r="P62" s="503">
        <f t="shared" si="18"/>
        <v>-7912167</v>
      </c>
      <c r="Q62" s="503">
        <f t="shared" si="19"/>
        <v>49234755</v>
      </c>
      <c r="R62" s="503">
        <f t="shared" si="20"/>
        <v>-7692225</v>
      </c>
      <c r="S62" s="503">
        <f t="shared" si="9"/>
        <v>33630363</v>
      </c>
      <c r="T62" s="514">
        <f t="shared" si="17"/>
        <v>0.63453515094339619</v>
      </c>
      <c r="U62" s="634"/>
      <c r="V62" s="690">
        <f t="shared" si="10"/>
        <v>0</v>
      </c>
      <c r="W62" s="494"/>
      <c r="X62" s="494"/>
      <c r="Y62" s="494"/>
    </row>
    <row r="63" spans="1:25" ht="39.6" x14ac:dyDescent="0.25">
      <c r="A63" s="527"/>
      <c r="B63" s="533" t="s">
        <v>67</v>
      </c>
      <c r="C63" s="132"/>
      <c r="D63" s="570"/>
      <c r="E63" s="570"/>
      <c r="F63" s="570"/>
      <c r="G63" s="570"/>
      <c r="H63" s="503"/>
      <c r="I63" s="503"/>
      <c r="J63" s="503"/>
      <c r="K63" s="570"/>
      <c r="L63" s="637">
        <f t="shared" si="3"/>
        <v>0</v>
      </c>
      <c r="M63" s="637">
        <f t="shared" si="3"/>
        <v>0</v>
      </c>
      <c r="N63" s="637">
        <f t="shared" si="3"/>
        <v>0</v>
      </c>
      <c r="O63" s="570"/>
      <c r="P63" s="503">
        <f t="shared" si="18"/>
        <v>0</v>
      </c>
      <c r="Q63" s="503">
        <f t="shared" si="19"/>
        <v>0</v>
      </c>
      <c r="R63" s="503">
        <f t="shared" si="20"/>
        <v>0</v>
      </c>
      <c r="S63" s="503">
        <f t="shared" si="9"/>
        <v>0</v>
      </c>
      <c r="T63" s="514">
        <f t="shared" si="17"/>
        <v>0</v>
      </c>
      <c r="U63" s="634"/>
      <c r="V63" s="690">
        <f t="shared" si="10"/>
        <v>0</v>
      </c>
      <c r="W63" s="494"/>
      <c r="X63" s="494"/>
      <c r="Y63" s="494"/>
    </row>
    <row r="64" spans="1:25" x14ac:dyDescent="0.25">
      <c r="A64" s="527" t="s">
        <v>68</v>
      </c>
      <c r="B64" s="533" t="s">
        <v>69</v>
      </c>
      <c r="C64" s="132"/>
      <c r="D64" s="570"/>
      <c r="E64" s="570">
        <v>0</v>
      </c>
      <c r="F64" s="570"/>
      <c r="G64" s="570"/>
      <c r="H64" s="503">
        <v>0</v>
      </c>
      <c r="I64" s="503">
        <v>0</v>
      </c>
      <c r="J64" s="503"/>
      <c r="K64" s="570"/>
      <c r="L64" s="637">
        <f t="shared" si="3"/>
        <v>0</v>
      </c>
      <c r="M64" s="637">
        <f t="shared" si="3"/>
        <v>0</v>
      </c>
      <c r="N64" s="637">
        <f t="shared" si="3"/>
        <v>0</v>
      </c>
      <c r="O64" s="570"/>
      <c r="P64" s="503">
        <f t="shared" si="18"/>
        <v>0</v>
      </c>
      <c r="Q64" s="503">
        <f t="shared" si="19"/>
        <v>0</v>
      </c>
      <c r="R64" s="503">
        <f t="shared" si="20"/>
        <v>0</v>
      </c>
      <c r="S64" s="503">
        <f t="shared" si="9"/>
        <v>0</v>
      </c>
      <c r="T64" s="514">
        <f t="shared" si="17"/>
        <v>0</v>
      </c>
      <c r="U64" s="634"/>
      <c r="V64" s="690">
        <f t="shared" si="10"/>
        <v>0</v>
      </c>
      <c r="W64" s="494"/>
      <c r="X64" s="494"/>
      <c r="Y64" s="494"/>
    </row>
    <row r="65" spans="1:25" x14ac:dyDescent="0.25">
      <c r="A65" s="527" t="s">
        <v>70</v>
      </c>
      <c r="B65" s="533" t="s">
        <v>71</v>
      </c>
      <c r="C65" s="132">
        <v>250000</v>
      </c>
      <c r="D65" s="570">
        <v>450000</v>
      </c>
      <c r="E65" s="570">
        <v>450000</v>
      </c>
      <c r="F65" s="570">
        <v>245047</v>
      </c>
      <c r="G65" s="570"/>
      <c r="H65" s="503">
        <v>206462</v>
      </c>
      <c r="I65" s="503">
        <v>218197</v>
      </c>
      <c r="J65" s="503">
        <v>245047</v>
      </c>
      <c r="K65" s="570"/>
      <c r="L65" s="637">
        <f t="shared" si="3"/>
        <v>0.45880444444444446</v>
      </c>
      <c r="M65" s="637">
        <f t="shared" si="3"/>
        <v>0.48488222222222221</v>
      </c>
      <c r="N65" s="637">
        <f t="shared" si="3"/>
        <v>1</v>
      </c>
      <c r="O65" s="570"/>
      <c r="P65" s="503">
        <f t="shared" si="18"/>
        <v>200000</v>
      </c>
      <c r="Q65" s="503">
        <f t="shared" si="19"/>
        <v>0</v>
      </c>
      <c r="R65" s="503">
        <f t="shared" si="20"/>
        <v>-204953</v>
      </c>
      <c r="S65" s="503">
        <f t="shared" si="9"/>
        <v>-4953</v>
      </c>
      <c r="T65" s="514">
        <f t="shared" si="17"/>
        <v>-1.9812E-2</v>
      </c>
      <c r="U65" s="634"/>
      <c r="V65" s="690">
        <f t="shared" si="10"/>
        <v>0</v>
      </c>
      <c r="W65" s="494"/>
      <c r="X65" s="494"/>
      <c r="Y65" s="494"/>
    </row>
    <row r="66" spans="1:25" ht="39.6" x14ac:dyDescent="0.25">
      <c r="A66" s="527"/>
      <c r="B66" s="533" t="s">
        <v>72</v>
      </c>
      <c r="C66" s="132"/>
      <c r="D66" s="570"/>
      <c r="E66" s="570">
        <v>0</v>
      </c>
      <c r="F66" s="570"/>
      <c r="G66" s="570"/>
      <c r="H66" s="503"/>
      <c r="I66" s="503"/>
      <c r="J66" s="503"/>
      <c r="K66" s="570"/>
      <c r="L66" s="637">
        <f t="shared" si="3"/>
        <v>0</v>
      </c>
      <c r="M66" s="637">
        <f t="shared" si="3"/>
        <v>0</v>
      </c>
      <c r="N66" s="637">
        <f t="shared" si="3"/>
        <v>0</v>
      </c>
      <c r="O66" s="570"/>
      <c r="P66" s="503">
        <f t="shared" si="18"/>
        <v>0</v>
      </c>
      <c r="Q66" s="503">
        <f t="shared" si="19"/>
        <v>0</v>
      </c>
      <c r="R66" s="503">
        <f t="shared" si="20"/>
        <v>0</v>
      </c>
      <c r="S66" s="503">
        <f t="shared" si="9"/>
        <v>0</v>
      </c>
      <c r="T66" s="514">
        <f t="shared" si="17"/>
        <v>0</v>
      </c>
      <c r="U66" s="634"/>
      <c r="V66" s="690">
        <f t="shared" si="10"/>
        <v>0</v>
      </c>
      <c r="W66" s="494"/>
      <c r="X66" s="494"/>
      <c r="Y66" s="494"/>
    </row>
    <row r="67" spans="1:25" x14ac:dyDescent="0.25">
      <c r="A67" s="527" t="s">
        <v>73</v>
      </c>
      <c r="B67" s="533" t="s">
        <v>110</v>
      </c>
      <c r="C67" s="132">
        <v>0</v>
      </c>
      <c r="D67" s="570">
        <v>0</v>
      </c>
      <c r="E67" s="570">
        <v>0</v>
      </c>
      <c r="F67" s="570"/>
      <c r="G67" s="570"/>
      <c r="H67" s="503">
        <v>0</v>
      </c>
      <c r="I67" s="503">
        <v>0</v>
      </c>
      <c r="J67" s="503"/>
      <c r="K67" s="570"/>
      <c r="L67" s="637">
        <f t="shared" si="3"/>
        <v>0</v>
      </c>
      <c r="M67" s="637">
        <f t="shared" si="3"/>
        <v>0</v>
      </c>
      <c r="N67" s="637">
        <f t="shared" si="3"/>
        <v>0</v>
      </c>
      <c r="O67" s="570"/>
      <c r="P67" s="503">
        <f t="shared" si="18"/>
        <v>0</v>
      </c>
      <c r="Q67" s="503">
        <f t="shared" si="19"/>
        <v>0</v>
      </c>
      <c r="R67" s="503">
        <f t="shared" si="20"/>
        <v>0</v>
      </c>
      <c r="S67" s="503">
        <f t="shared" si="9"/>
        <v>0</v>
      </c>
      <c r="T67" s="514">
        <f t="shared" si="17"/>
        <v>0</v>
      </c>
      <c r="U67" s="634"/>
      <c r="V67" s="690">
        <f t="shared" si="10"/>
        <v>0</v>
      </c>
      <c r="W67" s="494"/>
      <c r="X67" s="494"/>
      <c r="Y67" s="494"/>
    </row>
    <row r="68" spans="1:25" ht="39.6" x14ac:dyDescent="0.25">
      <c r="A68" s="527"/>
      <c r="B68" s="533" t="s">
        <v>74</v>
      </c>
      <c r="C68" s="132"/>
      <c r="D68" s="570"/>
      <c r="E68" s="570">
        <v>0</v>
      </c>
      <c r="F68" s="570"/>
      <c r="G68" s="570"/>
      <c r="H68" s="503"/>
      <c r="I68" s="503"/>
      <c r="J68" s="503"/>
      <c r="K68" s="570"/>
      <c r="L68" s="637">
        <f t="shared" si="3"/>
        <v>0</v>
      </c>
      <c r="M68" s="637">
        <f t="shared" si="3"/>
        <v>0</v>
      </c>
      <c r="N68" s="637">
        <f t="shared" si="3"/>
        <v>0</v>
      </c>
      <c r="O68" s="570"/>
      <c r="P68" s="503">
        <f t="shared" si="18"/>
        <v>0</v>
      </c>
      <c r="Q68" s="503">
        <f t="shared" si="19"/>
        <v>0</v>
      </c>
      <c r="R68" s="503">
        <f t="shared" si="20"/>
        <v>0</v>
      </c>
      <c r="S68" s="503">
        <f t="shared" si="9"/>
        <v>0</v>
      </c>
      <c r="T68" s="514">
        <f t="shared" si="17"/>
        <v>0</v>
      </c>
      <c r="U68" s="634"/>
      <c r="V68" s="690">
        <f t="shared" si="10"/>
        <v>0</v>
      </c>
      <c r="W68" s="494"/>
      <c r="X68" s="494"/>
      <c r="Y68" s="494"/>
    </row>
    <row r="69" spans="1:25" x14ac:dyDescent="0.25">
      <c r="A69" s="527" t="s">
        <v>75</v>
      </c>
      <c r="B69" s="533" t="s">
        <v>76</v>
      </c>
      <c r="C69" s="132"/>
      <c r="D69" s="570"/>
      <c r="E69" s="570">
        <v>0</v>
      </c>
      <c r="F69" s="570"/>
      <c r="G69" s="570"/>
      <c r="H69" s="503"/>
      <c r="I69" s="503"/>
      <c r="J69" s="503"/>
      <c r="K69" s="570"/>
      <c r="L69" s="637">
        <f t="shared" si="3"/>
        <v>0</v>
      </c>
      <c r="M69" s="637">
        <f t="shared" si="3"/>
        <v>0</v>
      </c>
      <c r="N69" s="637">
        <f t="shared" si="3"/>
        <v>0</v>
      </c>
      <c r="O69" s="570"/>
      <c r="P69" s="503">
        <f t="shared" si="18"/>
        <v>0</v>
      </c>
      <c r="Q69" s="503">
        <f t="shared" si="19"/>
        <v>0</v>
      </c>
      <c r="R69" s="503">
        <f t="shared" si="20"/>
        <v>0</v>
      </c>
      <c r="S69" s="503">
        <f t="shared" si="9"/>
        <v>0</v>
      </c>
      <c r="T69" s="514">
        <f t="shared" si="17"/>
        <v>0</v>
      </c>
      <c r="U69" s="634"/>
      <c r="V69" s="690">
        <f t="shared" si="10"/>
        <v>0</v>
      </c>
      <c r="W69" s="494"/>
      <c r="X69" s="494"/>
      <c r="Y69" s="494"/>
    </row>
    <row r="70" spans="1:25" x14ac:dyDescent="0.25">
      <c r="A70" s="527" t="s">
        <v>77</v>
      </c>
      <c r="B70" s="533" t="s">
        <v>78</v>
      </c>
      <c r="C70" s="132">
        <v>28000000</v>
      </c>
      <c r="D70" s="570">
        <v>28000000</v>
      </c>
      <c r="E70" s="570">
        <v>28000000</v>
      </c>
      <c r="F70" s="570">
        <v>24888650</v>
      </c>
      <c r="G70" s="570"/>
      <c r="H70" s="503">
        <v>13806346</v>
      </c>
      <c r="I70" s="503">
        <v>17849512</v>
      </c>
      <c r="J70" s="503">
        <v>24026378</v>
      </c>
      <c r="K70" s="570"/>
      <c r="L70" s="637">
        <f t="shared" si="3"/>
        <v>0.49308378571428574</v>
      </c>
      <c r="M70" s="637">
        <f t="shared" si="3"/>
        <v>0.63748257142857145</v>
      </c>
      <c r="N70" s="637">
        <f t="shared" si="3"/>
        <v>0.96535481032518844</v>
      </c>
      <c r="O70" s="570"/>
      <c r="P70" s="503">
        <f t="shared" si="18"/>
        <v>0</v>
      </c>
      <c r="Q70" s="503">
        <f t="shared" si="19"/>
        <v>0</v>
      </c>
      <c r="R70" s="503">
        <f t="shared" si="20"/>
        <v>-3111350</v>
      </c>
      <c r="S70" s="503">
        <f t="shared" si="9"/>
        <v>-3111350</v>
      </c>
      <c r="T70" s="514">
        <f t="shared" si="17"/>
        <v>-0.11111964285714286</v>
      </c>
      <c r="U70" s="634"/>
      <c r="V70" s="690">
        <f t="shared" si="10"/>
        <v>0</v>
      </c>
      <c r="W70" s="494"/>
      <c r="X70" s="494"/>
      <c r="Y70" s="494"/>
    </row>
    <row r="71" spans="1:25" x14ac:dyDescent="0.25">
      <c r="A71" s="527"/>
      <c r="B71" s="533" t="s">
        <v>79</v>
      </c>
      <c r="C71" s="132"/>
      <c r="D71" s="570"/>
      <c r="E71" s="570">
        <v>0</v>
      </c>
      <c r="F71" s="570"/>
      <c r="G71" s="570"/>
      <c r="H71" s="503"/>
      <c r="I71" s="503"/>
      <c r="J71" s="503"/>
      <c r="K71" s="570"/>
      <c r="L71" s="637">
        <f t="shared" si="3"/>
        <v>0</v>
      </c>
      <c r="M71" s="637">
        <f t="shared" si="3"/>
        <v>0</v>
      </c>
      <c r="N71" s="637">
        <f t="shared" si="3"/>
        <v>0</v>
      </c>
      <c r="O71" s="570"/>
      <c r="P71" s="503">
        <f t="shared" si="18"/>
        <v>0</v>
      </c>
      <c r="Q71" s="503">
        <f t="shared" si="19"/>
        <v>0</v>
      </c>
      <c r="R71" s="503">
        <f t="shared" si="20"/>
        <v>0</v>
      </c>
      <c r="S71" s="503">
        <f t="shared" si="9"/>
        <v>0</v>
      </c>
      <c r="T71" s="514">
        <f t="shared" si="17"/>
        <v>0</v>
      </c>
      <c r="U71" s="634"/>
      <c r="V71" s="690">
        <f t="shared" si="10"/>
        <v>0</v>
      </c>
      <c r="W71" s="494"/>
      <c r="X71" s="494"/>
      <c r="Y71" s="494"/>
    </row>
    <row r="72" spans="1:25" x14ac:dyDescent="0.25">
      <c r="A72" s="527" t="s">
        <v>80</v>
      </c>
      <c r="B72" s="533" t="s">
        <v>81</v>
      </c>
      <c r="C72" s="132">
        <v>23000000</v>
      </c>
      <c r="D72" s="570">
        <v>65000000</v>
      </c>
      <c r="E72" s="570">
        <v>65000000</v>
      </c>
      <c r="F72" s="570">
        <v>36198000</v>
      </c>
      <c r="G72" s="570"/>
      <c r="H72" s="503">
        <v>32314000</v>
      </c>
      <c r="I72" s="503">
        <v>32475000</v>
      </c>
      <c r="J72" s="503">
        <v>36198000</v>
      </c>
      <c r="K72" s="570"/>
      <c r="L72" s="637">
        <f t="shared" si="3"/>
        <v>0.49713846153846153</v>
      </c>
      <c r="M72" s="637">
        <f t="shared" si="3"/>
        <v>0.49961538461538463</v>
      </c>
      <c r="N72" s="637">
        <f t="shared" si="3"/>
        <v>1</v>
      </c>
      <c r="O72" s="570"/>
      <c r="P72" s="503">
        <f t="shared" si="18"/>
        <v>42000000</v>
      </c>
      <c r="Q72" s="503">
        <f t="shared" si="19"/>
        <v>0</v>
      </c>
      <c r="R72" s="503">
        <f t="shared" si="20"/>
        <v>-28802000</v>
      </c>
      <c r="S72" s="503">
        <f t="shared" si="9"/>
        <v>13198000</v>
      </c>
      <c r="T72" s="514">
        <f t="shared" si="17"/>
        <v>0.57382608695652171</v>
      </c>
      <c r="U72" s="634"/>
      <c r="V72" s="690">
        <f t="shared" si="10"/>
        <v>0</v>
      </c>
      <c r="W72" s="494"/>
      <c r="X72" s="494"/>
      <c r="Y72" s="494"/>
    </row>
    <row r="73" spans="1:25" ht="26.4" x14ac:dyDescent="0.25">
      <c r="A73" s="527"/>
      <c r="B73" s="533" t="s">
        <v>111</v>
      </c>
      <c r="C73" s="132"/>
      <c r="D73" s="570"/>
      <c r="E73" s="570">
        <v>0</v>
      </c>
      <c r="F73" s="570"/>
      <c r="G73" s="570"/>
      <c r="H73" s="503"/>
      <c r="I73" s="503"/>
      <c r="J73" s="503"/>
      <c r="K73" s="570"/>
      <c r="L73" s="637">
        <f t="shared" si="3"/>
        <v>0</v>
      </c>
      <c r="M73" s="637">
        <f t="shared" si="3"/>
        <v>0</v>
      </c>
      <c r="N73" s="637">
        <f t="shared" si="3"/>
        <v>0</v>
      </c>
      <c r="O73" s="570"/>
      <c r="P73" s="503">
        <f t="shared" si="18"/>
        <v>0</v>
      </c>
      <c r="Q73" s="503">
        <f t="shared" si="19"/>
        <v>0</v>
      </c>
      <c r="R73" s="503">
        <f t="shared" si="20"/>
        <v>0</v>
      </c>
      <c r="S73" s="503">
        <f t="shared" si="9"/>
        <v>0</v>
      </c>
      <c r="T73" s="514">
        <f t="shared" si="17"/>
        <v>0</v>
      </c>
      <c r="U73" s="634"/>
      <c r="V73" s="690">
        <f t="shared" si="10"/>
        <v>0</v>
      </c>
      <c r="W73" s="494"/>
      <c r="X73" s="494"/>
      <c r="Y73" s="494"/>
    </row>
    <row r="74" spans="1:25" x14ac:dyDescent="0.25">
      <c r="A74" s="527" t="s">
        <v>82</v>
      </c>
      <c r="B74" s="533" t="s">
        <v>83</v>
      </c>
      <c r="C74" s="132">
        <v>0</v>
      </c>
      <c r="D74" s="570"/>
      <c r="E74" s="570">
        <v>0</v>
      </c>
      <c r="F74" s="570"/>
      <c r="G74" s="570"/>
      <c r="H74" s="503">
        <v>0</v>
      </c>
      <c r="I74" s="503"/>
      <c r="J74" s="503"/>
      <c r="K74" s="570"/>
      <c r="L74" s="637">
        <f t="shared" si="3"/>
        <v>0</v>
      </c>
      <c r="M74" s="637">
        <f t="shared" si="3"/>
        <v>0</v>
      </c>
      <c r="N74" s="637">
        <f t="shared" si="3"/>
        <v>0</v>
      </c>
      <c r="O74" s="570"/>
      <c r="P74" s="503">
        <f t="shared" si="18"/>
        <v>0</v>
      </c>
      <c r="Q74" s="503">
        <f t="shared" si="19"/>
        <v>0</v>
      </c>
      <c r="R74" s="503">
        <f t="shared" si="20"/>
        <v>0</v>
      </c>
      <c r="S74" s="503">
        <f t="shared" si="9"/>
        <v>0</v>
      </c>
      <c r="T74" s="514">
        <f t="shared" si="17"/>
        <v>0</v>
      </c>
      <c r="U74" s="634"/>
      <c r="V74" s="690">
        <f t="shared" si="10"/>
        <v>0</v>
      </c>
      <c r="W74" s="494"/>
      <c r="X74" s="494"/>
      <c r="Y74" s="494"/>
    </row>
    <row r="75" spans="1:25" ht="26.4" x14ac:dyDescent="0.25">
      <c r="A75" s="527"/>
      <c r="B75" s="533" t="s">
        <v>84</v>
      </c>
      <c r="C75" s="132"/>
      <c r="D75" s="570"/>
      <c r="E75" s="570">
        <v>0</v>
      </c>
      <c r="F75" s="570"/>
      <c r="G75" s="570"/>
      <c r="H75" s="503"/>
      <c r="I75" s="503"/>
      <c r="J75" s="503"/>
      <c r="K75" s="570"/>
      <c r="L75" s="637">
        <f t="shared" si="3"/>
        <v>0</v>
      </c>
      <c r="M75" s="637">
        <f t="shared" si="3"/>
        <v>0</v>
      </c>
      <c r="N75" s="637">
        <f t="shared" si="3"/>
        <v>0</v>
      </c>
      <c r="O75" s="570"/>
      <c r="P75" s="503">
        <f t="shared" si="18"/>
        <v>0</v>
      </c>
      <c r="Q75" s="503">
        <f t="shared" si="19"/>
        <v>0</v>
      </c>
      <c r="R75" s="503">
        <f t="shared" si="20"/>
        <v>0</v>
      </c>
      <c r="S75" s="503">
        <f t="shared" si="9"/>
        <v>0</v>
      </c>
      <c r="T75" s="514">
        <f t="shared" si="17"/>
        <v>0</v>
      </c>
      <c r="U75" s="634"/>
      <c r="V75" s="690">
        <f t="shared" si="10"/>
        <v>0</v>
      </c>
      <c r="W75" s="494"/>
      <c r="X75" s="494"/>
      <c r="Y75" s="494"/>
    </row>
    <row r="76" spans="1:25" x14ac:dyDescent="0.25">
      <c r="A76" s="527" t="s">
        <v>85</v>
      </c>
      <c r="B76" s="533" t="s">
        <v>86</v>
      </c>
      <c r="C76" s="132">
        <v>0</v>
      </c>
      <c r="D76" s="570"/>
      <c r="E76" s="570">
        <v>0</v>
      </c>
      <c r="F76" s="570"/>
      <c r="G76" s="570"/>
      <c r="H76" s="503"/>
      <c r="I76" s="503"/>
      <c r="J76" s="503"/>
      <c r="K76" s="570"/>
      <c r="L76" s="637">
        <f t="shared" si="3"/>
        <v>0</v>
      </c>
      <c r="M76" s="637">
        <f t="shared" si="3"/>
        <v>0</v>
      </c>
      <c r="N76" s="637">
        <f t="shared" si="3"/>
        <v>0</v>
      </c>
      <c r="O76" s="570"/>
      <c r="P76" s="503">
        <f t="shared" si="18"/>
        <v>0</v>
      </c>
      <c r="Q76" s="503">
        <f t="shared" si="19"/>
        <v>0</v>
      </c>
      <c r="R76" s="503">
        <f t="shared" si="20"/>
        <v>0</v>
      </c>
      <c r="S76" s="503">
        <f t="shared" si="9"/>
        <v>0</v>
      </c>
      <c r="T76" s="514">
        <f t="shared" si="17"/>
        <v>0</v>
      </c>
      <c r="U76" s="634"/>
      <c r="V76" s="690">
        <f t="shared" si="10"/>
        <v>0</v>
      </c>
      <c r="W76" s="494"/>
      <c r="X76" s="494"/>
      <c r="Y76" s="494"/>
    </row>
    <row r="77" spans="1:25" x14ac:dyDescent="0.25">
      <c r="A77" s="527"/>
      <c r="B77" s="533" t="s">
        <v>87</v>
      </c>
      <c r="C77" s="132"/>
      <c r="D77" s="570"/>
      <c r="E77" s="570">
        <v>0</v>
      </c>
      <c r="F77" s="570"/>
      <c r="G77" s="570"/>
      <c r="H77" s="503"/>
      <c r="I77" s="503"/>
      <c r="J77" s="503"/>
      <c r="K77" s="570"/>
      <c r="L77" s="637">
        <f t="shared" ref="L77:N140" si="21">IF(D77=0,0,H77/D77)</f>
        <v>0</v>
      </c>
      <c r="M77" s="637">
        <f t="shared" si="21"/>
        <v>0</v>
      </c>
      <c r="N77" s="637">
        <f t="shared" si="21"/>
        <v>0</v>
      </c>
      <c r="O77" s="570"/>
      <c r="P77" s="503">
        <f t="shared" si="18"/>
        <v>0</v>
      </c>
      <c r="Q77" s="503">
        <f t="shared" si="19"/>
        <v>0</v>
      </c>
      <c r="R77" s="503">
        <f t="shared" si="20"/>
        <v>0</v>
      </c>
      <c r="S77" s="503">
        <f t="shared" si="9"/>
        <v>0</v>
      </c>
      <c r="T77" s="514">
        <f t="shared" si="17"/>
        <v>0</v>
      </c>
      <c r="U77" s="634"/>
      <c r="V77" s="690">
        <f t="shared" si="10"/>
        <v>0</v>
      </c>
      <c r="W77" s="494"/>
      <c r="X77" s="494"/>
      <c r="Y77" s="494"/>
    </row>
    <row r="78" spans="1:25" x14ac:dyDescent="0.25">
      <c r="A78" s="527" t="s">
        <v>88</v>
      </c>
      <c r="B78" s="533" t="s">
        <v>89</v>
      </c>
      <c r="C78" s="132">
        <v>340000</v>
      </c>
      <c r="D78" s="570">
        <v>700000</v>
      </c>
      <c r="E78" s="570">
        <v>700000</v>
      </c>
      <c r="F78" s="570">
        <v>1132524</v>
      </c>
      <c r="G78" s="570"/>
      <c r="H78" s="503">
        <v>552735</v>
      </c>
      <c r="I78" s="503">
        <v>584300</v>
      </c>
      <c r="J78" s="503">
        <v>1063919</v>
      </c>
      <c r="K78" s="570"/>
      <c r="L78" s="637">
        <f t="shared" si="21"/>
        <v>0.78962142857142859</v>
      </c>
      <c r="M78" s="637">
        <f t="shared" si="21"/>
        <v>0.83471428571428574</v>
      </c>
      <c r="N78" s="637">
        <f t="shared" si="21"/>
        <v>0.9394229173068297</v>
      </c>
      <c r="O78" s="570"/>
      <c r="P78" s="503">
        <f t="shared" si="18"/>
        <v>360000</v>
      </c>
      <c r="Q78" s="503">
        <f t="shared" si="19"/>
        <v>0</v>
      </c>
      <c r="R78" s="503">
        <f t="shared" si="20"/>
        <v>432524</v>
      </c>
      <c r="S78" s="503">
        <f t="shared" si="9"/>
        <v>792524</v>
      </c>
      <c r="T78" s="514">
        <f t="shared" si="17"/>
        <v>2.3309529411764704</v>
      </c>
      <c r="U78" s="634"/>
      <c r="V78" s="690">
        <f t="shared" si="10"/>
        <v>0</v>
      </c>
      <c r="W78" s="494"/>
      <c r="X78" s="494"/>
      <c r="Y78" s="494"/>
    </row>
    <row r="79" spans="1:25" ht="66" x14ac:dyDescent="0.25">
      <c r="A79" s="527"/>
      <c r="B79" s="533" t="s">
        <v>93</v>
      </c>
      <c r="C79" s="132"/>
      <c r="D79" s="570"/>
      <c r="E79" s="570">
        <v>0</v>
      </c>
      <c r="F79" s="570"/>
      <c r="G79" s="570"/>
      <c r="H79" s="503"/>
      <c r="I79" s="503"/>
      <c r="J79" s="503"/>
      <c r="K79" s="570"/>
      <c r="L79" s="637">
        <f t="shared" si="21"/>
        <v>0</v>
      </c>
      <c r="M79" s="637">
        <f t="shared" si="21"/>
        <v>0</v>
      </c>
      <c r="N79" s="637">
        <f t="shared" si="21"/>
        <v>0</v>
      </c>
      <c r="O79" s="570"/>
      <c r="P79" s="503">
        <f t="shared" si="18"/>
        <v>0</v>
      </c>
      <c r="Q79" s="503">
        <f t="shared" si="19"/>
        <v>0</v>
      </c>
      <c r="R79" s="503">
        <f t="shared" si="20"/>
        <v>0</v>
      </c>
      <c r="S79" s="503">
        <f t="shared" si="9"/>
        <v>0</v>
      </c>
      <c r="T79" s="514">
        <f t="shared" si="17"/>
        <v>0</v>
      </c>
      <c r="U79" s="634"/>
      <c r="V79" s="690">
        <f t="shared" si="10"/>
        <v>0</v>
      </c>
      <c r="W79" s="494"/>
      <c r="X79" s="494"/>
      <c r="Y79" s="494"/>
    </row>
    <row r="80" spans="1:25" x14ac:dyDescent="0.25">
      <c r="A80" s="642"/>
      <c r="B80" s="643"/>
      <c r="C80" s="132"/>
      <c r="D80" s="570"/>
      <c r="E80" s="570"/>
      <c r="F80" s="570"/>
      <c r="G80" s="570"/>
      <c r="H80" s="503"/>
      <c r="I80" s="503"/>
      <c r="J80" s="503"/>
      <c r="K80" s="570"/>
      <c r="L80" s="637">
        <f t="shared" si="21"/>
        <v>0</v>
      </c>
      <c r="M80" s="637">
        <f t="shared" si="21"/>
        <v>0</v>
      </c>
      <c r="N80" s="637">
        <f t="shared" si="21"/>
        <v>0</v>
      </c>
      <c r="O80" s="570"/>
      <c r="P80" s="503"/>
      <c r="Q80" s="503"/>
      <c r="R80" s="503"/>
      <c r="S80" s="503"/>
      <c r="T80" s="514"/>
      <c r="U80" s="634"/>
      <c r="V80" s="690">
        <f t="shared" ref="V80:V143" si="22">+S80-F80+C80</f>
        <v>0</v>
      </c>
      <c r="W80" s="494"/>
      <c r="X80" s="494"/>
      <c r="Y80" s="494"/>
    </row>
    <row r="81" spans="1:25" x14ac:dyDescent="0.25">
      <c r="A81" s="512" t="s">
        <v>112</v>
      </c>
      <c r="B81" s="513" t="s">
        <v>113</v>
      </c>
      <c r="C81" s="130">
        <f t="shared" ref="C81" si="23">SUM(C82:C105)</f>
        <v>22100000</v>
      </c>
      <c r="D81" s="130">
        <f>SUM(D82:D105)</f>
        <v>23100000</v>
      </c>
      <c r="E81" s="130">
        <f>SUM(E82:E105)</f>
        <v>24100000</v>
      </c>
      <c r="F81" s="130">
        <f>SUM(F82:F105)</f>
        <v>23324501</v>
      </c>
      <c r="G81" s="130"/>
      <c r="H81" s="641">
        <f>SUM(H82:H105)</f>
        <v>12463530</v>
      </c>
      <c r="I81" s="641">
        <f>SUM(I82:I105)</f>
        <v>17751990</v>
      </c>
      <c r="J81" s="641">
        <f>SUM(J82:J105)</f>
        <v>22054410</v>
      </c>
      <c r="K81" s="130"/>
      <c r="L81" s="636">
        <f t="shared" si="21"/>
        <v>0.53954675324675327</v>
      </c>
      <c r="M81" s="636">
        <f t="shared" si="21"/>
        <v>0.73659709543568463</v>
      </c>
      <c r="N81" s="636">
        <f t="shared" si="21"/>
        <v>0.94554691652353029</v>
      </c>
      <c r="O81" s="130"/>
      <c r="P81" s="641">
        <f t="shared" ref="P81:R82" si="24">IF(D81&gt;0,+D81-C81,0)</f>
        <v>1000000</v>
      </c>
      <c r="Q81" s="641">
        <f t="shared" si="24"/>
        <v>1000000</v>
      </c>
      <c r="R81" s="641">
        <f t="shared" si="24"/>
        <v>-775499</v>
      </c>
      <c r="S81" s="641">
        <f t="shared" ref="S81:S143" si="25">SUM(P81:R81)</f>
        <v>1224501</v>
      </c>
      <c r="T81" s="514">
        <f t="shared" ref="T81:T104" si="26">IF(C81=0,0,+S81/C81)</f>
        <v>5.5407285067873305E-2</v>
      </c>
      <c r="U81" s="589"/>
      <c r="V81" s="690">
        <f t="shared" si="22"/>
        <v>0</v>
      </c>
      <c r="W81" s="494"/>
      <c r="X81" s="494"/>
      <c r="Y81" s="494"/>
    </row>
    <row r="82" spans="1:25" x14ac:dyDescent="0.25">
      <c r="A82" s="527" t="s">
        <v>114</v>
      </c>
      <c r="B82" s="533" t="s">
        <v>115</v>
      </c>
      <c r="C82" s="132">
        <v>2100000</v>
      </c>
      <c r="D82" s="570">
        <v>2100000</v>
      </c>
      <c r="E82" s="644">
        <v>2100000</v>
      </c>
      <c r="F82" s="570">
        <v>2545465</v>
      </c>
      <c r="G82" s="570"/>
      <c r="H82" s="503">
        <v>210045</v>
      </c>
      <c r="I82" s="503">
        <v>1467505</v>
      </c>
      <c r="J82" s="503">
        <v>2532925</v>
      </c>
      <c r="K82" s="570"/>
      <c r="L82" s="637">
        <f t="shared" si="21"/>
        <v>0.10002142857142857</v>
      </c>
      <c r="M82" s="637">
        <f t="shared" si="21"/>
        <v>0.6988119047619048</v>
      </c>
      <c r="N82" s="637">
        <f t="shared" si="21"/>
        <v>0.99507359166203424</v>
      </c>
      <c r="O82" s="570"/>
      <c r="P82" s="503">
        <f t="shared" si="24"/>
        <v>0</v>
      </c>
      <c r="Q82" s="503">
        <f t="shared" si="24"/>
        <v>0</v>
      </c>
      <c r="R82" s="503">
        <f t="shared" si="24"/>
        <v>445465</v>
      </c>
      <c r="S82" s="503">
        <f t="shared" si="25"/>
        <v>445465</v>
      </c>
      <c r="T82" s="514">
        <f t="shared" si="26"/>
        <v>0.21212619047619047</v>
      </c>
      <c r="U82" s="634"/>
      <c r="V82" s="690">
        <f t="shared" si="22"/>
        <v>0</v>
      </c>
      <c r="W82" s="494"/>
      <c r="X82" s="494"/>
      <c r="Y82" s="494"/>
    </row>
    <row r="83" spans="1:25" ht="76.5" customHeight="1" x14ac:dyDescent="0.25">
      <c r="A83" s="527"/>
      <c r="B83" s="533" t="s">
        <v>368</v>
      </c>
      <c r="C83" s="132"/>
      <c r="D83" s="570">
        <v>0</v>
      </c>
      <c r="E83" s="570">
        <v>0</v>
      </c>
      <c r="F83" s="570"/>
      <c r="G83" s="570"/>
      <c r="H83" s="503">
        <v>0</v>
      </c>
      <c r="I83" s="503">
        <v>0</v>
      </c>
      <c r="J83" s="503"/>
      <c r="K83" s="570"/>
      <c r="L83" s="637">
        <f t="shared" si="21"/>
        <v>0</v>
      </c>
      <c r="M83" s="637">
        <f t="shared" si="21"/>
        <v>0</v>
      </c>
      <c r="N83" s="637">
        <f t="shared" si="21"/>
        <v>0</v>
      </c>
      <c r="O83" s="570"/>
      <c r="P83" s="503">
        <f t="shared" ref="P83:P104" si="27">+(D83-C83)*P$8</f>
        <v>0</v>
      </c>
      <c r="Q83" s="503">
        <f t="shared" ref="Q83:Q104" si="28">+(E83-D83)*Q$8</f>
        <v>0</v>
      </c>
      <c r="R83" s="503">
        <f t="shared" ref="R83:R104" si="29">+(F83-E83)*R$8</f>
        <v>0</v>
      </c>
      <c r="S83" s="503">
        <f t="shared" si="25"/>
        <v>0</v>
      </c>
      <c r="T83" s="514">
        <f t="shared" si="26"/>
        <v>0</v>
      </c>
      <c r="U83" s="634"/>
      <c r="V83" s="690">
        <f t="shared" si="22"/>
        <v>0</v>
      </c>
      <c r="W83" s="494"/>
      <c r="X83" s="494"/>
      <c r="Y83" s="494"/>
    </row>
    <row r="84" spans="1:25" x14ac:dyDescent="0.25">
      <c r="A84" s="527" t="s">
        <v>116</v>
      </c>
      <c r="B84" s="533" t="s">
        <v>117</v>
      </c>
      <c r="C84" s="132">
        <v>0</v>
      </c>
      <c r="D84" s="570">
        <v>0</v>
      </c>
      <c r="E84" s="570">
        <f>I84*1.13</f>
        <v>0</v>
      </c>
      <c r="F84" s="570"/>
      <c r="G84" s="570"/>
      <c r="H84" s="503">
        <v>0</v>
      </c>
      <c r="I84" s="503"/>
      <c r="J84" s="503"/>
      <c r="K84" s="570"/>
      <c r="L84" s="637">
        <f t="shared" si="21"/>
        <v>0</v>
      </c>
      <c r="M84" s="637">
        <f t="shared" si="21"/>
        <v>0</v>
      </c>
      <c r="N84" s="637">
        <f t="shared" si="21"/>
        <v>0</v>
      </c>
      <c r="O84" s="570"/>
      <c r="P84" s="503">
        <f t="shared" si="27"/>
        <v>0</v>
      </c>
      <c r="Q84" s="503">
        <f t="shared" si="28"/>
        <v>0</v>
      </c>
      <c r="R84" s="503">
        <f t="shared" si="29"/>
        <v>0</v>
      </c>
      <c r="S84" s="503">
        <f t="shared" si="25"/>
        <v>0</v>
      </c>
      <c r="T84" s="514">
        <f t="shared" si="26"/>
        <v>0</v>
      </c>
      <c r="U84" s="634"/>
      <c r="V84" s="690">
        <f t="shared" si="22"/>
        <v>0</v>
      </c>
      <c r="W84" s="494"/>
      <c r="X84" s="494"/>
      <c r="Y84" s="494"/>
    </row>
    <row r="85" spans="1:25" x14ac:dyDescent="0.25">
      <c r="A85" s="527"/>
      <c r="B85" s="533" t="s">
        <v>118</v>
      </c>
      <c r="C85" s="132"/>
      <c r="D85" s="570"/>
      <c r="E85" s="570">
        <f>I85*1.13</f>
        <v>0</v>
      </c>
      <c r="F85" s="570"/>
      <c r="G85" s="570"/>
      <c r="H85" s="503"/>
      <c r="I85" s="503"/>
      <c r="J85" s="503"/>
      <c r="K85" s="570"/>
      <c r="L85" s="637">
        <f t="shared" si="21"/>
        <v>0</v>
      </c>
      <c r="M85" s="637">
        <f t="shared" si="21"/>
        <v>0</v>
      </c>
      <c r="N85" s="637">
        <f t="shared" si="21"/>
        <v>0</v>
      </c>
      <c r="O85" s="570"/>
      <c r="P85" s="503">
        <f t="shared" si="27"/>
        <v>0</v>
      </c>
      <c r="Q85" s="503">
        <f t="shared" si="28"/>
        <v>0</v>
      </c>
      <c r="R85" s="503">
        <f t="shared" si="29"/>
        <v>0</v>
      </c>
      <c r="S85" s="503">
        <f t="shared" si="25"/>
        <v>0</v>
      </c>
      <c r="T85" s="514">
        <f t="shared" si="26"/>
        <v>0</v>
      </c>
      <c r="U85" s="634"/>
      <c r="V85" s="690">
        <f t="shared" si="22"/>
        <v>0</v>
      </c>
      <c r="W85" s="494"/>
      <c r="X85" s="494"/>
      <c r="Y85" s="494"/>
    </row>
    <row r="86" spans="1:25" x14ac:dyDescent="0.25">
      <c r="A86" s="527"/>
      <c r="B86" s="533" t="s">
        <v>119</v>
      </c>
      <c r="C86" s="132"/>
      <c r="D86" s="570"/>
      <c r="E86" s="570">
        <f>I86*1.13</f>
        <v>0</v>
      </c>
      <c r="F86" s="570"/>
      <c r="G86" s="570"/>
      <c r="H86" s="503">
        <v>0</v>
      </c>
      <c r="I86" s="503"/>
      <c r="J86" s="503"/>
      <c r="K86" s="570"/>
      <c r="L86" s="637">
        <f t="shared" si="21"/>
        <v>0</v>
      </c>
      <c r="M86" s="637">
        <f t="shared" si="21"/>
        <v>0</v>
      </c>
      <c r="N86" s="637">
        <f t="shared" si="21"/>
        <v>0</v>
      </c>
      <c r="O86" s="570"/>
      <c r="P86" s="503">
        <f t="shared" si="27"/>
        <v>0</v>
      </c>
      <c r="Q86" s="503">
        <f t="shared" si="28"/>
        <v>0</v>
      </c>
      <c r="R86" s="503">
        <f t="shared" si="29"/>
        <v>0</v>
      </c>
      <c r="S86" s="503">
        <f t="shared" si="25"/>
        <v>0</v>
      </c>
      <c r="T86" s="514">
        <f t="shared" si="26"/>
        <v>0</v>
      </c>
      <c r="U86" s="634"/>
      <c r="V86" s="690">
        <f t="shared" si="22"/>
        <v>0</v>
      </c>
      <c r="W86" s="494"/>
      <c r="X86" s="494"/>
      <c r="Y86" s="494"/>
    </row>
    <row r="87" spans="1:25" x14ac:dyDescent="0.25">
      <c r="A87" s="527"/>
      <c r="B87" s="533" t="s">
        <v>120</v>
      </c>
      <c r="C87" s="132"/>
      <c r="D87" s="570">
        <v>0</v>
      </c>
      <c r="E87" s="570">
        <v>0</v>
      </c>
      <c r="F87" s="570"/>
      <c r="G87" s="570"/>
      <c r="H87" s="503">
        <v>0</v>
      </c>
      <c r="I87" s="503">
        <v>0</v>
      </c>
      <c r="J87" s="503"/>
      <c r="K87" s="570"/>
      <c r="L87" s="637">
        <f t="shared" si="21"/>
        <v>0</v>
      </c>
      <c r="M87" s="637">
        <f t="shared" si="21"/>
        <v>0</v>
      </c>
      <c r="N87" s="637">
        <f t="shared" si="21"/>
        <v>0</v>
      </c>
      <c r="O87" s="570"/>
      <c r="P87" s="503">
        <f t="shared" si="27"/>
        <v>0</v>
      </c>
      <c r="Q87" s="503">
        <f t="shared" si="28"/>
        <v>0</v>
      </c>
      <c r="R87" s="503">
        <f t="shared" si="29"/>
        <v>0</v>
      </c>
      <c r="S87" s="503">
        <f t="shared" si="25"/>
        <v>0</v>
      </c>
      <c r="T87" s="514">
        <f t="shared" si="26"/>
        <v>0</v>
      </c>
      <c r="U87" s="634"/>
      <c r="V87" s="690">
        <f t="shared" si="22"/>
        <v>0</v>
      </c>
      <c r="W87" s="494"/>
      <c r="X87" s="494"/>
      <c r="Y87" s="494"/>
    </row>
    <row r="88" spans="1:25" x14ac:dyDescent="0.25">
      <c r="A88" s="527" t="s">
        <v>121</v>
      </c>
      <c r="B88" s="533" t="s">
        <v>122</v>
      </c>
      <c r="C88" s="132">
        <v>0</v>
      </c>
      <c r="D88" s="570">
        <v>0</v>
      </c>
      <c r="E88" s="570">
        <v>0</v>
      </c>
      <c r="F88" s="570"/>
      <c r="G88" s="570"/>
      <c r="H88" s="503">
        <v>0</v>
      </c>
      <c r="I88" s="503">
        <v>0</v>
      </c>
      <c r="J88" s="503"/>
      <c r="K88" s="570"/>
      <c r="L88" s="637">
        <f t="shared" si="21"/>
        <v>0</v>
      </c>
      <c r="M88" s="637">
        <f t="shared" si="21"/>
        <v>0</v>
      </c>
      <c r="N88" s="637">
        <f t="shared" si="21"/>
        <v>0</v>
      </c>
      <c r="O88" s="570"/>
      <c r="P88" s="503">
        <f t="shared" si="27"/>
        <v>0</v>
      </c>
      <c r="Q88" s="503">
        <f t="shared" si="28"/>
        <v>0</v>
      </c>
      <c r="R88" s="503">
        <f t="shared" si="29"/>
        <v>0</v>
      </c>
      <c r="S88" s="503">
        <f t="shared" si="25"/>
        <v>0</v>
      </c>
      <c r="T88" s="514">
        <f t="shared" si="26"/>
        <v>0</v>
      </c>
      <c r="U88" s="634"/>
      <c r="V88" s="690">
        <f t="shared" si="22"/>
        <v>0</v>
      </c>
      <c r="W88" s="494"/>
      <c r="X88" s="494"/>
      <c r="Y88" s="494"/>
    </row>
    <row r="89" spans="1:25" x14ac:dyDescent="0.25">
      <c r="A89" s="527"/>
      <c r="B89" s="533" t="s">
        <v>123</v>
      </c>
      <c r="C89" s="132"/>
      <c r="D89" s="570"/>
      <c r="E89" s="570"/>
      <c r="F89" s="570"/>
      <c r="G89" s="570"/>
      <c r="H89" s="503"/>
      <c r="I89" s="503"/>
      <c r="J89" s="503"/>
      <c r="K89" s="570"/>
      <c r="L89" s="637">
        <f t="shared" si="21"/>
        <v>0</v>
      </c>
      <c r="M89" s="637">
        <f t="shared" si="21"/>
        <v>0</v>
      </c>
      <c r="N89" s="637">
        <f t="shared" si="21"/>
        <v>0</v>
      </c>
      <c r="O89" s="570"/>
      <c r="P89" s="503">
        <f t="shared" si="27"/>
        <v>0</v>
      </c>
      <c r="Q89" s="503">
        <f t="shared" si="28"/>
        <v>0</v>
      </c>
      <c r="R89" s="503">
        <f t="shared" si="29"/>
        <v>0</v>
      </c>
      <c r="S89" s="503">
        <f t="shared" si="25"/>
        <v>0</v>
      </c>
      <c r="T89" s="514">
        <f t="shared" si="26"/>
        <v>0</v>
      </c>
      <c r="U89" s="634"/>
      <c r="V89" s="690">
        <f t="shared" si="22"/>
        <v>0</v>
      </c>
      <c r="W89" s="494"/>
      <c r="X89" s="494"/>
      <c r="Y89" s="494"/>
    </row>
    <row r="90" spans="1:25" x14ac:dyDescent="0.25">
      <c r="A90" s="527" t="s">
        <v>124</v>
      </c>
      <c r="B90" s="533" t="s">
        <v>125</v>
      </c>
      <c r="C90" s="132">
        <v>0</v>
      </c>
      <c r="D90" s="570"/>
      <c r="E90" s="570">
        <v>0</v>
      </c>
      <c r="F90" s="570"/>
      <c r="G90" s="570"/>
      <c r="H90" s="503"/>
      <c r="I90" s="503">
        <v>0</v>
      </c>
      <c r="J90" s="503"/>
      <c r="K90" s="570"/>
      <c r="L90" s="637">
        <f t="shared" si="21"/>
        <v>0</v>
      </c>
      <c r="M90" s="637">
        <f t="shared" si="21"/>
        <v>0</v>
      </c>
      <c r="N90" s="637">
        <f t="shared" si="21"/>
        <v>0</v>
      </c>
      <c r="O90" s="570"/>
      <c r="P90" s="503">
        <f t="shared" si="27"/>
        <v>0</v>
      </c>
      <c r="Q90" s="503">
        <f t="shared" si="28"/>
        <v>0</v>
      </c>
      <c r="R90" s="503">
        <f t="shared" si="29"/>
        <v>0</v>
      </c>
      <c r="S90" s="503">
        <f t="shared" si="25"/>
        <v>0</v>
      </c>
      <c r="T90" s="514">
        <f t="shared" si="26"/>
        <v>0</v>
      </c>
      <c r="U90" s="634"/>
      <c r="V90" s="690">
        <f t="shared" si="22"/>
        <v>0</v>
      </c>
      <c r="W90" s="494"/>
      <c r="X90" s="494"/>
      <c r="Y90" s="494"/>
    </row>
    <row r="91" spans="1:25" x14ac:dyDescent="0.25">
      <c r="A91" s="527"/>
      <c r="B91" s="533" t="s">
        <v>126</v>
      </c>
      <c r="C91" s="132"/>
      <c r="D91" s="570"/>
      <c r="E91" s="570">
        <v>0</v>
      </c>
      <c r="F91" s="570"/>
      <c r="G91" s="570"/>
      <c r="H91" s="503">
        <v>0</v>
      </c>
      <c r="I91" s="503">
        <v>0</v>
      </c>
      <c r="J91" s="503"/>
      <c r="K91" s="570"/>
      <c r="L91" s="637">
        <f t="shared" si="21"/>
        <v>0</v>
      </c>
      <c r="M91" s="637">
        <f t="shared" si="21"/>
        <v>0</v>
      </c>
      <c r="N91" s="637">
        <f t="shared" si="21"/>
        <v>0</v>
      </c>
      <c r="O91" s="570"/>
      <c r="P91" s="503">
        <f t="shared" si="27"/>
        <v>0</v>
      </c>
      <c r="Q91" s="503">
        <f t="shared" si="28"/>
        <v>0</v>
      </c>
      <c r="R91" s="503">
        <f t="shared" si="29"/>
        <v>0</v>
      </c>
      <c r="S91" s="503">
        <f t="shared" si="25"/>
        <v>0</v>
      </c>
      <c r="T91" s="514">
        <f t="shared" si="26"/>
        <v>0</v>
      </c>
      <c r="U91" s="634"/>
      <c r="V91" s="690">
        <f t="shared" si="22"/>
        <v>0</v>
      </c>
      <c r="W91" s="494"/>
      <c r="X91" s="494"/>
      <c r="Y91" s="494"/>
    </row>
    <row r="92" spans="1:25" x14ac:dyDescent="0.25">
      <c r="A92" s="527" t="s">
        <v>127</v>
      </c>
      <c r="B92" s="533" t="s">
        <v>128</v>
      </c>
      <c r="C92" s="132">
        <v>20000000</v>
      </c>
      <c r="D92" s="570">
        <v>21000000</v>
      </c>
      <c r="E92" s="570">
        <v>22000000</v>
      </c>
      <c r="F92" s="570">
        <v>20779036</v>
      </c>
      <c r="G92" s="570"/>
      <c r="H92" s="503">
        <v>12253485</v>
      </c>
      <c r="I92" s="503">
        <v>16284485</v>
      </c>
      <c r="J92" s="503">
        <v>19521485</v>
      </c>
      <c r="K92" s="570"/>
      <c r="L92" s="637">
        <f t="shared" si="21"/>
        <v>0.58349928571428566</v>
      </c>
      <c r="M92" s="637">
        <f t="shared" si="21"/>
        <v>0.74020386363636359</v>
      </c>
      <c r="N92" s="637">
        <f t="shared" si="21"/>
        <v>0.93947981994929886</v>
      </c>
      <c r="O92" s="570"/>
      <c r="P92" s="503">
        <f t="shared" si="27"/>
        <v>1000000</v>
      </c>
      <c r="Q92" s="503">
        <f t="shared" si="28"/>
        <v>1000000</v>
      </c>
      <c r="R92" s="503">
        <f t="shared" si="29"/>
        <v>-1220964</v>
      </c>
      <c r="S92" s="503">
        <f t="shared" si="25"/>
        <v>779036</v>
      </c>
      <c r="T92" s="514">
        <f t="shared" si="26"/>
        <v>3.8951800000000002E-2</v>
      </c>
      <c r="U92" s="634"/>
      <c r="V92" s="690">
        <f t="shared" si="22"/>
        <v>0</v>
      </c>
      <c r="W92" s="494"/>
      <c r="X92" s="494"/>
      <c r="Y92" s="494"/>
    </row>
    <row r="93" spans="1:25" ht="39.6" x14ac:dyDescent="0.25">
      <c r="A93" s="527"/>
      <c r="B93" s="533" t="s">
        <v>129</v>
      </c>
      <c r="C93" s="520"/>
      <c r="D93" s="570"/>
      <c r="E93" s="570"/>
      <c r="F93" s="570"/>
      <c r="G93" s="570"/>
      <c r="H93" s="503"/>
      <c r="I93" s="503"/>
      <c r="J93" s="503"/>
      <c r="K93" s="570"/>
      <c r="L93" s="637">
        <f t="shared" si="21"/>
        <v>0</v>
      </c>
      <c r="M93" s="637">
        <f t="shared" si="21"/>
        <v>0</v>
      </c>
      <c r="N93" s="637">
        <f t="shared" si="21"/>
        <v>0</v>
      </c>
      <c r="O93" s="570"/>
      <c r="P93" s="503">
        <f t="shared" ref="P93" si="30">+(D93-C93)*P$8</f>
        <v>0</v>
      </c>
      <c r="Q93" s="503">
        <f t="shared" ref="Q93" si="31">+(E93-D93)*Q$8</f>
        <v>0</v>
      </c>
      <c r="R93" s="503">
        <f t="shared" ref="R93" si="32">+(F93-E93)*R$8</f>
        <v>0</v>
      </c>
      <c r="S93" s="503">
        <f t="shared" ref="S93" si="33">SUM(P93:R93)</f>
        <v>0</v>
      </c>
      <c r="T93" s="514">
        <f t="shared" si="26"/>
        <v>0</v>
      </c>
      <c r="U93" s="634"/>
      <c r="V93" s="690">
        <f t="shared" si="22"/>
        <v>0</v>
      </c>
      <c r="W93" s="494"/>
      <c r="X93" s="494"/>
      <c r="Y93" s="494"/>
    </row>
    <row r="94" spans="1:25" x14ac:dyDescent="0.25">
      <c r="A94" s="527"/>
      <c r="B94" s="533" t="s">
        <v>130</v>
      </c>
      <c r="C94" s="132"/>
      <c r="D94" s="570"/>
      <c r="E94" s="570"/>
      <c r="F94" s="570"/>
      <c r="G94" s="570"/>
      <c r="H94" s="503"/>
      <c r="I94" s="503"/>
      <c r="J94" s="503"/>
      <c r="K94" s="570"/>
      <c r="L94" s="637">
        <f t="shared" si="21"/>
        <v>0</v>
      </c>
      <c r="M94" s="637">
        <f t="shared" si="21"/>
        <v>0</v>
      </c>
      <c r="N94" s="637">
        <f t="shared" si="21"/>
        <v>0</v>
      </c>
      <c r="O94" s="570"/>
      <c r="P94" s="503">
        <f t="shared" si="27"/>
        <v>0</v>
      </c>
      <c r="Q94" s="503">
        <f t="shared" si="28"/>
        <v>0</v>
      </c>
      <c r="R94" s="503">
        <f t="shared" si="29"/>
        <v>0</v>
      </c>
      <c r="S94" s="503">
        <f t="shared" si="25"/>
        <v>0</v>
      </c>
      <c r="T94" s="514">
        <f t="shared" si="26"/>
        <v>0</v>
      </c>
      <c r="U94" s="634"/>
      <c r="V94" s="690">
        <f t="shared" si="22"/>
        <v>0</v>
      </c>
      <c r="W94" s="494"/>
      <c r="X94" s="494"/>
      <c r="Y94" s="494"/>
    </row>
    <row r="95" spans="1:25" x14ac:dyDescent="0.25">
      <c r="A95" s="527"/>
      <c r="B95" s="533" t="s">
        <v>131</v>
      </c>
      <c r="C95" s="132"/>
      <c r="D95" s="570"/>
      <c r="E95" s="570"/>
      <c r="F95" s="570"/>
      <c r="G95" s="570"/>
      <c r="H95" s="503"/>
      <c r="I95" s="503"/>
      <c r="J95" s="503"/>
      <c r="K95" s="570"/>
      <c r="L95" s="637">
        <f t="shared" si="21"/>
        <v>0</v>
      </c>
      <c r="M95" s="637">
        <f t="shared" si="21"/>
        <v>0</v>
      </c>
      <c r="N95" s="637">
        <f t="shared" si="21"/>
        <v>0</v>
      </c>
      <c r="O95" s="570"/>
      <c r="P95" s="503">
        <f t="shared" si="27"/>
        <v>0</v>
      </c>
      <c r="Q95" s="503">
        <f t="shared" si="28"/>
        <v>0</v>
      </c>
      <c r="R95" s="503">
        <f t="shared" si="29"/>
        <v>0</v>
      </c>
      <c r="S95" s="503">
        <f t="shared" si="25"/>
        <v>0</v>
      </c>
      <c r="T95" s="514">
        <f t="shared" si="26"/>
        <v>0</v>
      </c>
      <c r="U95" s="634"/>
      <c r="V95" s="690">
        <f t="shared" si="22"/>
        <v>0</v>
      </c>
      <c r="W95" s="494"/>
      <c r="X95" s="494"/>
      <c r="Y95" s="494"/>
    </row>
    <row r="96" spans="1:25" x14ac:dyDescent="0.25">
      <c r="A96" s="527"/>
      <c r="B96" s="533" t="s">
        <v>132</v>
      </c>
      <c r="C96" s="132"/>
      <c r="D96" s="570"/>
      <c r="E96" s="570"/>
      <c r="F96" s="570"/>
      <c r="G96" s="570"/>
      <c r="H96" s="503"/>
      <c r="I96" s="503"/>
      <c r="J96" s="503"/>
      <c r="K96" s="570"/>
      <c r="L96" s="637">
        <f t="shared" si="21"/>
        <v>0</v>
      </c>
      <c r="M96" s="637">
        <f t="shared" si="21"/>
        <v>0</v>
      </c>
      <c r="N96" s="637">
        <f t="shared" si="21"/>
        <v>0</v>
      </c>
      <c r="O96" s="570"/>
      <c r="P96" s="503">
        <f t="shared" si="27"/>
        <v>0</v>
      </c>
      <c r="Q96" s="503">
        <f t="shared" si="28"/>
        <v>0</v>
      </c>
      <c r="R96" s="503">
        <f t="shared" si="29"/>
        <v>0</v>
      </c>
      <c r="S96" s="503">
        <f t="shared" si="25"/>
        <v>0</v>
      </c>
      <c r="T96" s="514">
        <f t="shared" si="26"/>
        <v>0</v>
      </c>
      <c r="U96" s="634"/>
      <c r="V96" s="690">
        <f t="shared" si="22"/>
        <v>0</v>
      </c>
      <c r="W96" s="494"/>
      <c r="X96" s="494"/>
      <c r="Y96" s="494"/>
    </row>
    <row r="97" spans="1:25" x14ac:dyDescent="0.25">
      <c r="A97" s="527"/>
      <c r="B97" s="533" t="s">
        <v>133</v>
      </c>
      <c r="C97" s="132"/>
      <c r="D97" s="570"/>
      <c r="E97" s="570"/>
      <c r="F97" s="570"/>
      <c r="G97" s="570"/>
      <c r="H97" s="503"/>
      <c r="I97" s="503"/>
      <c r="J97" s="503"/>
      <c r="K97" s="570"/>
      <c r="L97" s="637">
        <f t="shared" si="21"/>
        <v>0</v>
      </c>
      <c r="M97" s="637">
        <f t="shared" si="21"/>
        <v>0</v>
      </c>
      <c r="N97" s="637">
        <f t="shared" si="21"/>
        <v>0</v>
      </c>
      <c r="O97" s="570"/>
      <c r="P97" s="503">
        <f t="shared" si="27"/>
        <v>0</v>
      </c>
      <c r="Q97" s="503">
        <f t="shared" si="28"/>
        <v>0</v>
      </c>
      <c r="R97" s="503">
        <f t="shared" si="29"/>
        <v>0</v>
      </c>
      <c r="S97" s="503">
        <f t="shared" si="25"/>
        <v>0</v>
      </c>
      <c r="T97" s="514">
        <f t="shared" si="26"/>
        <v>0</v>
      </c>
      <c r="U97" s="634"/>
      <c r="V97" s="690">
        <f t="shared" si="22"/>
        <v>0</v>
      </c>
      <c r="W97" s="494"/>
      <c r="X97" s="494"/>
      <c r="Y97" s="494"/>
    </row>
    <row r="98" spans="1:25" x14ac:dyDescent="0.25">
      <c r="A98" s="527"/>
      <c r="B98" s="533" t="s">
        <v>134</v>
      </c>
      <c r="C98" s="132"/>
      <c r="D98" s="570"/>
      <c r="E98" s="570"/>
      <c r="F98" s="570"/>
      <c r="G98" s="570"/>
      <c r="H98" s="503"/>
      <c r="I98" s="503"/>
      <c r="J98" s="503"/>
      <c r="K98" s="570"/>
      <c r="L98" s="637">
        <f t="shared" si="21"/>
        <v>0</v>
      </c>
      <c r="M98" s="637">
        <f t="shared" si="21"/>
        <v>0</v>
      </c>
      <c r="N98" s="637">
        <f t="shared" si="21"/>
        <v>0</v>
      </c>
      <c r="O98" s="570"/>
      <c r="P98" s="503">
        <f t="shared" si="27"/>
        <v>0</v>
      </c>
      <c r="Q98" s="503">
        <f t="shared" si="28"/>
        <v>0</v>
      </c>
      <c r="R98" s="503">
        <f t="shared" si="29"/>
        <v>0</v>
      </c>
      <c r="S98" s="503">
        <f t="shared" si="25"/>
        <v>0</v>
      </c>
      <c r="T98" s="514">
        <f t="shared" si="26"/>
        <v>0</v>
      </c>
      <c r="U98" s="634"/>
      <c r="V98" s="690">
        <f t="shared" si="22"/>
        <v>0</v>
      </c>
      <c r="W98" s="494"/>
      <c r="X98" s="494"/>
      <c r="Y98" s="494"/>
    </row>
    <row r="99" spans="1:25" x14ac:dyDescent="0.25">
      <c r="A99" s="527"/>
      <c r="B99" s="533" t="s">
        <v>135</v>
      </c>
      <c r="C99" s="132"/>
      <c r="D99" s="570"/>
      <c r="E99" s="570"/>
      <c r="F99" s="570"/>
      <c r="G99" s="570"/>
      <c r="H99" s="503"/>
      <c r="I99" s="503"/>
      <c r="J99" s="503"/>
      <c r="K99" s="570"/>
      <c r="L99" s="637">
        <f t="shared" si="21"/>
        <v>0</v>
      </c>
      <c r="M99" s="637">
        <f t="shared" si="21"/>
        <v>0</v>
      </c>
      <c r="N99" s="637">
        <f t="shared" si="21"/>
        <v>0</v>
      </c>
      <c r="O99" s="570"/>
      <c r="P99" s="503">
        <f t="shared" si="27"/>
        <v>0</v>
      </c>
      <c r="Q99" s="503">
        <f t="shared" si="28"/>
        <v>0</v>
      </c>
      <c r="R99" s="503">
        <f t="shared" si="29"/>
        <v>0</v>
      </c>
      <c r="S99" s="503">
        <f t="shared" si="25"/>
        <v>0</v>
      </c>
      <c r="T99" s="514">
        <f t="shared" si="26"/>
        <v>0</v>
      </c>
      <c r="U99" s="634"/>
      <c r="V99" s="690">
        <f t="shared" si="22"/>
        <v>0</v>
      </c>
      <c r="W99" s="494"/>
      <c r="X99" s="494"/>
      <c r="Y99" s="494"/>
    </row>
    <row r="100" spans="1:25" x14ac:dyDescent="0.25">
      <c r="A100" s="527"/>
      <c r="B100" s="533" t="s">
        <v>136</v>
      </c>
      <c r="C100" s="132"/>
      <c r="D100" s="570"/>
      <c r="E100" s="570"/>
      <c r="F100" s="570"/>
      <c r="G100" s="570"/>
      <c r="H100" s="503"/>
      <c r="I100" s="503"/>
      <c r="J100" s="503"/>
      <c r="K100" s="570"/>
      <c r="L100" s="637">
        <f t="shared" si="21"/>
        <v>0</v>
      </c>
      <c r="M100" s="637">
        <f t="shared" si="21"/>
        <v>0</v>
      </c>
      <c r="N100" s="637">
        <f t="shared" si="21"/>
        <v>0</v>
      </c>
      <c r="O100" s="570"/>
      <c r="P100" s="503">
        <f t="shared" si="27"/>
        <v>0</v>
      </c>
      <c r="Q100" s="503">
        <f t="shared" si="28"/>
        <v>0</v>
      </c>
      <c r="R100" s="503">
        <f t="shared" si="29"/>
        <v>0</v>
      </c>
      <c r="S100" s="503">
        <f t="shared" si="25"/>
        <v>0</v>
      </c>
      <c r="T100" s="514">
        <f t="shared" si="26"/>
        <v>0</v>
      </c>
      <c r="U100" s="634"/>
      <c r="V100" s="690">
        <f t="shared" si="22"/>
        <v>0</v>
      </c>
      <c r="W100" s="494"/>
      <c r="X100" s="494"/>
      <c r="Y100" s="494"/>
    </row>
    <row r="101" spans="1:25" x14ac:dyDescent="0.25">
      <c r="A101" s="527"/>
      <c r="B101" s="533" t="s">
        <v>137</v>
      </c>
      <c r="C101" s="132"/>
      <c r="D101" s="570"/>
      <c r="E101" s="570"/>
      <c r="F101" s="570"/>
      <c r="G101" s="570"/>
      <c r="H101" s="503"/>
      <c r="I101" s="503"/>
      <c r="J101" s="503"/>
      <c r="K101" s="570"/>
      <c r="L101" s="637">
        <f t="shared" si="21"/>
        <v>0</v>
      </c>
      <c r="M101" s="637">
        <f t="shared" si="21"/>
        <v>0</v>
      </c>
      <c r="N101" s="637">
        <f t="shared" si="21"/>
        <v>0</v>
      </c>
      <c r="O101" s="570"/>
      <c r="P101" s="503">
        <f t="shared" si="27"/>
        <v>0</v>
      </c>
      <c r="Q101" s="503">
        <f t="shared" si="28"/>
        <v>0</v>
      </c>
      <c r="R101" s="503">
        <f t="shared" si="29"/>
        <v>0</v>
      </c>
      <c r="S101" s="503">
        <f t="shared" si="25"/>
        <v>0</v>
      </c>
      <c r="T101" s="514">
        <f t="shared" si="26"/>
        <v>0</v>
      </c>
      <c r="U101" s="634"/>
      <c r="V101" s="690">
        <f t="shared" si="22"/>
        <v>0</v>
      </c>
      <c r="W101" s="494"/>
      <c r="X101" s="494"/>
      <c r="Y101" s="494"/>
    </row>
    <row r="102" spans="1:25" x14ac:dyDescent="0.25">
      <c r="A102" s="527"/>
      <c r="B102" s="533" t="s">
        <v>138</v>
      </c>
      <c r="C102" s="132"/>
      <c r="D102" s="570"/>
      <c r="E102" s="570"/>
      <c r="F102" s="570"/>
      <c r="G102" s="570"/>
      <c r="H102" s="503"/>
      <c r="I102" s="503"/>
      <c r="J102" s="503"/>
      <c r="K102" s="570"/>
      <c r="L102" s="637">
        <f t="shared" si="21"/>
        <v>0</v>
      </c>
      <c r="M102" s="637">
        <f t="shared" si="21"/>
        <v>0</v>
      </c>
      <c r="N102" s="637">
        <f t="shared" si="21"/>
        <v>0</v>
      </c>
      <c r="O102" s="570"/>
      <c r="P102" s="503">
        <f t="shared" si="27"/>
        <v>0</v>
      </c>
      <c r="Q102" s="503">
        <f t="shared" si="28"/>
        <v>0</v>
      </c>
      <c r="R102" s="503">
        <f t="shared" si="29"/>
        <v>0</v>
      </c>
      <c r="S102" s="503">
        <f t="shared" si="25"/>
        <v>0</v>
      </c>
      <c r="T102" s="514">
        <f t="shared" si="26"/>
        <v>0</v>
      </c>
      <c r="U102" s="634"/>
      <c r="V102" s="690">
        <f t="shared" si="22"/>
        <v>0</v>
      </c>
      <c r="W102" s="494"/>
      <c r="X102" s="494"/>
      <c r="Y102" s="494"/>
    </row>
    <row r="103" spans="1:25" ht="26.4" x14ac:dyDescent="0.25">
      <c r="A103" s="527"/>
      <c r="B103" s="533" t="s">
        <v>139</v>
      </c>
      <c r="C103" s="132"/>
      <c r="D103" s="570"/>
      <c r="E103" s="570"/>
      <c r="F103" s="570"/>
      <c r="G103" s="570"/>
      <c r="H103" s="503"/>
      <c r="I103" s="503"/>
      <c r="J103" s="503"/>
      <c r="K103" s="570"/>
      <c r="L103" s="637">
        <f t="shared" si="21"/>
        <v>0</v>
      </c>
      <c r="M103" s="637">
        <f t="shared" si="21"/>
        <v>0</v>
      </c>
      <c r="N103" s="637">
        <f t="shared" si="21"/>
        <v>0</v>
      </c>
      <c r="O103" s="570"/>
      <c r="P103" s="503">
        <f t="shared" si="27"/>
        <v>0</v>
      </c>
      <c r="Q103" s="503">
        <f t="shared" si="28"/>
        <v>0</v>
      </c>
      <c r="R103" s="503">
        <f t="shared" si="29"/>
        <v>0</v>
      </c>
      <c r="S103" s="503">
        <f t="shared" si="25"/>
        <v>0</v>
      </c>
      <c r="T103" s="514">
        <f t="shared" si="26"/>
        <v>0</v>
      </c>
      <c r="U103" s="634"/>
      <c r="V103" s="690">
        <f t="shared" si="22"/>
        <v>0</v>
      </c>
      <c r="W103" s="494"/>
      <c r="X103" s="494"/>
      <c r="Y103" s="494"/>
    </row>
    <row r="104" spans="1:25" ht="26.4" x14ac:dyDescent="0.25">
      <c r="A104" s="527"/>
      <c r="B104" s="533" t="s">
        <v>140</v>
      </c>
      <c r="C104" s="132"/>
      <c r="D104" s="570"/>
      <c r="E104" s="570"/>
      <c r="F104" s="570"/>
      <c r="G104" s="570"/>
      <c r="H104" s="503"/>
      <c r="I104" s="503"/>
      <c r="J104" s="503"/>
      <c r="K104" s="570"/>
      <c r="L104" s="637">
        <f t="shared" si="21"/>
        <v>0</v>
      </c>
      <c r="M104" s="637">
        <f t="shared" si="21"/>
        <v>0</v>
      </c>
      <c r="N104" s="637">
        <f t="shared" si="21"/>
        <v>0</v>
      </c>
      <c r="O104" s="570"/>
      <c r="P104" s="503">
        <f t="shared" si="27"/>
        <v>0</v>
      </c>
      <c r="Q104" s="503">
        <f t="shared" si="28"/>
        <v>0</v>
      </c>
      <c r="R104" s="503">
        <f t="shared" si="29"/>
        <v>0</v>
      </c>
      <c r="S104" s="503">
        <f t="shared" si="25"/>
        <v>0</v>
      </c>
      <c r="T104" s="514">
        <f t="shared" si="26"/>
        <v>0</v>
      </c>
      <c r="U104" s="634"/>
      <c r="V104" s="690">
        <f t="shared" si="22"/>
        <v>0</v>
      </c>
      <c r="W104" s="494"/>
      <c r="X104" s="494"/>
      <c r="Y104" s="494"/>
    </row>
    <row r="105" spans="1:25" x14ac:dyDescent="0.25">
      <c r="A105" s="527"/>
      <c r="B105" s="527"/>
      <c r="C105" s="132"/>
      <c r="D105" s="570"/>
      <c r="E105" s="570"/>
      <c r="F105" s="570"/>
      <c r="G105" s="570"/>
      <c r="H105" s="503"/>
      <c r="I105" s="503"/>
      <c r="J105" s="503"/>
      <c r="K105" s="570"/>
      <c r="L105" s="637">
        <f t="shared" si="21"/>
        <v>0</v>
      </c>
      <c r="M105" s="637">
        <f t="shared" si="21"/>
        <v>0</v>
      </c>
      <c r="N105" s="637">
        <f t="shared" si="21"/>
        <v>0</v>
      </c>
      <c r="O105" s="570"/>
      <c r="P105" s="503"/>
      <c r="Q105" s="503"/>
      <c r="R105" s="503"/>
      <c r="S105" s="503"/>
      <c r="T105" s="514"/>
      <c r="U105" s="634"/>
      <c r="V105" s="690">
        <f t="shared" si="22"/>
        <v>0</v>
      </c>
      <c r="W105" s="494"/>
      <c r="X105" s="494"/>
      <c r="Y105" s="494"/>
    </row>
    <row r="106" spans="1:25" x14ac:dyDescent="0.25">
      <c r="A106" s="512" t="s">
        <v>141</v>
      </c>
      <c r="B106" s="513" t="s">
        <v>142</v>
      </c>
      <c r="C106" s="130">
        <f>SUM(C107:C119)</f>
        <v>126531257</v>
      </c>
      <c r="D106" s="130">
        <f>SUM(D107:D119)</f>
        <v>127250158</v>
      </c>
      <c r="E106" s="130">
        <f t="shared" ref="E106:F106" si="34">SUM(E107:E118)</f>
        <v>127700158</v>
      </c>
      <c r="F106" s="130">
        <f t="shared" si="34"/>
        <v>145312407</v>
      </c>
      <c r="G106" s="130"/>
      <c r="H106" s="641">
        <f>SUM(H107:H119)</f>
        <v>87541344</v>
      </c>
      <c r="I106" s="641">
        <f>SUM(I107:I118)</f>
        <v>99005461</v>
      </c>
      <c r="J106" s="641">
        <f>SUM(J107:J118)</f>
        <v>130328150</v>
      </c>
      <c r="K106" s="130"/>
      <c r="L106" s="636">
        <f t="shared" si="21"/>
        <v>0.68794683932730361</v>
      </c>
      <c r="M106" s="636">
        <f t="shared" si="21"/>
        <v>0.77529630777747349</v>
      </c>
      <c r="N106" s="636">
        <f t="shared" si="21"/>
        <v>0.89688246647789682</v>
      </c>
      <c r="O106" s="130"/>
      <c r="P106" s="641">
        <f>IF(D106&gt;0,+D106-C106,0)</f>
        <v>718901</v>
      </c>
      <c r="Q106" s="641">
        <f>IF(E106&gt;0,+E106-D106,0)</f>
        <v>450000</v>
      </c>
      <c r="R106" s="641">
        <f>IF(F106&gt;0,+F106-E106,0)</f>
        <v>17612249</v>
      </c>
      <c r="S106" s="641">
        <f t="shared" si="25"/>
        <v>18781150</v>
      </c>
      <c r="T106" s="514">
        <f t="shared" ref="T106:T118" si="35">IF(C106=0,0,+S106/C106)</f>
        <v>0.14843091300357508</v>
      </c>
      <c r="U106" s="589"/>
      <c r="V106" s="690">
        <f t="shared" si="22"/>
        <v>0</v>
      </c>
      <c r="W106" s="494"/>
      <c r="X106" s="494"/>
      <c r="Y106" s="494"/>
    </row>
    <row r="107" spans="1:25" x14ac:dyDescent="0.25">
      <c r="A107" s="527" t="s">
        <v>143</v>
      </c>
      <c r="B107" s="533" t="s">
        <v>144</v>
      </c>
      <c r="C107" s="132"/>
      <c r="D107" s="570"/>
      <c r="E107" s="570">
        <v>0</v>
      </c>
      <c r="F107" s="570"/>
      <c r="G107" s="570"/>
      <c r="H107" s="503"/>
      <c r="I107" s="503"/>
      <c r="J107" s="503"/>
      <c r="K107" s="570"/>
      <c r="L107" s="637">
        <f t="shared" si="21"/>
        <v>0</v>
      </c>
      <c r="M107" s="637">
        <f t="shared" si="21"/>
        <v>0</v>
      </c>
      <c r="N107" s="637">
        <f t="shared" si="21"/>
        <v>0</v>
      </c>
      <c r="O107" s="570"/>
      <c r="P107" s="503">
        <f t="shared" ref="P107:P118" si="36">+(D107-C107)*P$8</f>
        <v>0</v>
      </c>
      <c r="Q107" s="503">
        <f t="shared" ref="Q107:Q118" si="37">+(E107-D107)*Q$8</f>
        <v>0</v>
      </c>
      <c r="R107" s="503">
        <f t="shared" ref="R107:R118" si="38">+(F107-E107)*R$8</f>
        <v>0</v>
      </c>
      <c r="S107" s="503">
        <f t="shared" si="25"/>
        <v>0</v>
      </c>
      <c r="T107" s="514">
        <f t="shared" si="35"/>
        <v>0</v>
      </c>
      <c r="U107" s="634"/>
      <c r="V107" s="690">
        <f t="shared" si="22"/>
        <v>0</v>
      </c>
      <c r="W107" s="494"/>
      <c r="X107" s="494"/>
      <c r="Y107" s="494"/>
    </row>
    <row r="108" spans="1:25" x14ac:dyDescent="0.25">
      <c r="A108" s="527"/>
      <c r="B108" s="533" t="s">
        <v>145</v>
      </c>
      <c r="C108" s="132"/>
      <c r="D108" s="570"/>
      <c r="E108" s="570">
        <v>0</v>
      </c>
      <c r="F108" s="570"/>
      <c r="G108" s="570"/>
      <c r="H108" s="503"/>
      <c r="I108" s="503">
        <v>0</v>
      </c>
      <c r="J108" s="503"/>
      <c r="K108" s="570"/>
      <c r="L108" s="637">
        <f t="shared" si="21"/>
        <v>0</v>
      </c>
      <c r="M108" s="637">
        <f t="shared" si="21"/>
        <v>0</v>
      </c>
      <c r="N108" s="637">
        <f t="shared" si="21"/>
        <v>0</v>
      </c>
      <c r="O108" s="570"/>
      <c r="P108" s="503">
        <f t="shared" si="36"/>
        <v>0</v>
      </c>
      <c r="Q108" s="503">
        <f t="shared" si="37"/>
        <v>0</v>
      </c>
      <c r="R108" s="503">
        <f t="shared" si="38"/>
        <v>0</v>
      </c>
      <c r="S108" s="503">
        <f t="shared" si="25"/>
        <v>0</v>
      </c>
      <c r="T108" s="514">
        <f t="shared" si="35"/>
        <v>0</v>
      </c>
      <c r="U108" s="634"/>
      <c r="V108" s="690">
        <f t="shared" si="22"/>
        <v>0</v>
      </c>
      <c r="W108" s="494"/>
      <c r="X108" s="494"/>
      <c r="Y108" s="494"/>
    </row>
    <row r="109" spans="1:25" ht="26.4" x14ac:dyDescent="0.25">
      <c r="A109" s="527" t="s">
        <v>146</v>
      </c>
      <c r="B109" s="533" t="s">
        <v>148</v>
      </c>
      <c r="C109" s="132"/>
      <c r="D109" s="570"/>
      <c r="E109" s="570">
        <v>0</v>
      </c>
      <c r="F109" s="570"/>
      <c r="G109" s="570"/>
      <c r="H109" s="503"/>
      <c r="I109" s="503"/>
      <c r="J109" s="503"/>
      <c r="K109" s="570"/>
      <c r="L109" s="637">
        <f t="shared" si="21"/>
        <v>0</v>
      </c>
      <c r="M109" s="637">
        <f t="shared" si="21"/>
        <v>0</v>
      </c>
      <c r="N109" s="637">
        <f t="shared" si="21"/>
        <v>0</v>
      </c>
      <c r="O109" s="570"/>
      <c r="P109" s="503">
        <f t="shared" si="36"/>
        <v>0</v>
      </c>
      <c r="Q109" s="503">
        <f t="shared" si="37"/>
        <v>0</v>
      </c>
      <c r="R109" s="503">
        <f t="shared" si="38"/>
        <v>0</v>
      </c>
      <c r="S109" s="503">
        <f t="shared" si="25"/>
        <v>0</v>
      </c>
      <c r="T109" s="514">
        <f t="shared" si="35"/>
        <v>0</v>
      </c>
      <c r="U109" s="634"/>
      <c r="V109" s="690">
        <f t="shared" si="22"/>
        <v>0</v>
      </c>
      <c r="W109" s="494"/>
      <c r="X109" s="494"/>
      <c r="Y109" s="494"/>
    </row>
    <row r="110" spans="1:25" ht="26.4" x14ac:dyDescent="0.25">
      <c r="A110" s="527" t="s">
        <v>147</v>
      </c>
      <c r="B110" s="533" t="s">
        <v>149</v>
      </c>
      <c r="C110" s="132"/>
      <c r="D110" s="570"/>
      <c r="E110" s="570">
        <v>0</v>
      </c>
      <c r="F110" s="570"/>
      <c r="G110" s="570"/>
      <c r="H110" s="503"/>
      <c r="I110" s="503"/>
      <c r="J110" s="503"/>
      <c r="K110" s="570"/>
      <c r="L110" s="637">
        <f t="shared" si="21"/>
        <v>0</v>
      </c>
      <c r="M110" s="637">
        <f t="shared" si="21"/>
        <v>0</v>
      </c>
      <c r="N110" s="637">
        <f t="shared" si="21"/>
        <v>0</v>
      </c>
      <c r="O110" s="570"/>
      <c r="P110" s="503">
        <f t="shared" si="36"/>
        <v>0</v>
      </c>
      <c r="Q110" s="503">
        <f t="shared" si="37"/>
        <v>0</v>
      </c>
      <c r="R110" s="503">
        <f t="shared" si="38"/>
        <v>0</v>
      </c>
      <c r="S110" s="503">
        <f t="shared" si="25"/>
        <v>0</v>
      </c>
      <c r="T110" s="514">
        <f t="shared" si="35"/>
        <v>0</v>
      </c>
      <c r="U110" s="634"/>
      <c r="V110" s="690">
        <f t="shared" si="22"/>
        <v>0</v>
      </c>
      <c r="W110" s="494"/>
      <c r="X110" s="494"/>
      <c r="Y110" s="494"/>
    </row>
    <row r="111" spans="1:25" ht="26.4" x14ac:dyDescent="0.25">
      <c r="A111" s="527" t="s">
        <v>150</v>
      </c>
      <c r="B111" s="533" t="s">
        <v>151</v>
      </c>
      <c r="C111" s="132"/>
      <c r="D111" s="570"/>
      <c r="E111" s="570">
        <v>0</v>
      </c>
      <c r="F111" s="570"/>
      <c r="G111" s="570"/>
      <c r="H111" s="503"/>
      <c r="I111" s="503"/>
      <c r="J111" s="503"/>
      <c r="K111" s="570"/>
      <c r="L111" s="637">
        <f t="shared" si="21"/>
        <v>0</v>
      </c>
      <c r="M111" s="637">
        <f t="shared" si="21"/>
        <v>0</v>
      </c>
      <c r="N111" s="637">
        <f t="shared" si="21"/>
        <v>0</v>
      </c>
      <c r="O111" s="570"/>
      <c r="P111" s="503">
        <f t="shared" si="36"/>
        <v>0</v>
      </c>
      <c r="Q111" s="503">
        <f t="shared" si="37"/>
        <v>0</v>
      </c>
      <c r="R111" s="503">
        <f t="shared" si="38"/>
        <v>0</v>
      </c>
      <c r="S111" s="503">
        <f t="shared" si="25"/>
        <v>0</v>
      </c>
      <c r="T111" s="514">
        <f t="shared" si="35"/>
        <v>0</v>
      </c>
      <c r="U111" s="634"/>
      <c r="V111" s="690">
        <f t="shared" si="22"/>
        <v>0</v>
      </c>
      <c r="W111" s="494"/>
      <c r="X111" s="494"/>
      <c r="Y111" s="494"/>
    </row>
    <row r="112" spans="1:25" x14ac:dyDescent="0.25">
      <c r="A112" s="527" t="s">
        <v>152</v>
      </c>
      <c r="B112" s="533" t="s">
        <v>153</v>
      </c>
      <c r="C112" s="132">
        <v>0</v>
      </c>
      <c r="D112" s="570">
        <v>618901</v>
      </c>
      <c r="E112" s="570">
        <v>1068901</v>
      </c>
      <c r="F112" s="570">
        <v>843901</v>
      </c>
      <c r="G112" s="570"/>
      <c r="H112" s="503">
        <v>508901</v>
      </c>
      <c r="I112" s="503">
        <v>843901</v>
      </c>
      <c r="J112" s="503">
        <v>843901</v>
      </c>
      <c r="K112" s="570"/>
      <c r="L112" s="637">
        <f t="shared" si="21"/>
        <v>0.82226559659784038</v>
      </c>
      <c r="M112" s="637">
        <f t="shared" si="21"/>
        <v>0.78950342454539757</v>
      </c>
      <c r="N112" s="637">
        <f t="shared" si="21"/>
        <v>1</v>
      </c>
      <c r="O112" s="570"/>
      <c r="P112" s="503">
        <f t="shared" si="36"/>
        <v>618901</v>
      </c>
      <c r="Q112" s="503">
        <f t="shared" si="37"/>
        <v>450000</v>
      </c>
      <c r="R112" s="503">
        <f t="shared" si="38"/>
        <v>-225000</v>
      </c>
      <c r="S112" s="503">
        <f t="shared" si="25"/>
        <v>843901</v>
      </c>
      <c r="T112" s="514">
        <f t="shared" si="35"/>
        <v>0</v>
      </c>
      <c r="U112" s="634"/>
      <c r="V112" s="690">
        <f t="shared" si="22"/>
        <v>0</v>
      </c>
      <c r="W112" s="494"/>
      <c r="X112" s="494"/>
      <c r="Y112" s="494"/>
    </row>
    <row r="113" spans="1:25" ht="39.6" x14ac:dyDescent="0.25">
      <c r="A113" s="527"/>
      <c r="B113" s="533" t="s">
        <v>154</v>
      </c>
      <c r="C113" s="132"/>
      <c r="D113" s="570"/>
      <c r="E113" s="570"/>
      <c r="F113" s="570"/>
      <c r="G113" s="570"/>
      <c r="H113" s="503"/>
      <c r="I113" s="503"/>
      <c r="J113" s="503"/>
      <c r="K113" s="570"/>
      <c r="L113" s="637">
        <f t="shared" si="21"/>
        <v>0</v>
      </c>
      <c r="M113" s="637">
        <f t="shared" si="21"/>
        <v>0</v>
      </c>
      <c r="N113" s="637">
        <f t="shared" si="21"/>
        <v>0</v>
      </c>
      <c r="O113" s="570"/>
      <c r="P113" s="503">
        <f t="shared" si="36"/>
        <v>0</v>
      </c>
      <c r="Q113" s="503">
        <f t="shared" si="37"/>
        <v>0</v>
      </c>
      <c r="R113" s="503">
        <f t="shared" si="38"/>
        <v>0</v>
      </c>
      <c r="S113" s="503">
        <f t="shared" si="25"/>
        <v>0</v>
      </c>
      <c r="T113" s="514">
        <f t="shared" si="35"/>
        <v>0</v>
      </c>
      <c r="U113" s="634"/>
      <c r="V113" s="690">
        <f t="shared" si="22"/>
        <v>0</v>
      </c>
      <c r="W113" s="494"/>
      <c r="X113" s="494"/>
      <c r="Y113" s="494"/>
    </row>
    <row r="114" spans="1:25" ht="52.8" x14ac:dyDescent="0.25">
      <c r="A114" s="527" t="s">
        <v>155</v>
      </c>
      <c r="B114" s="533" t="s">
        <v>156</v>
      </c>
      <c r="C114" s="132">
        <v>0</v>
      </c>
      <c r="D114" s="570">
        <f>+C114</f>
        <v>0</v>
      </c>
      <c r="E114" s="570">
        <v>0</v>
      </c>
      <c r="F114" s="570"/>
      <c r="G114" s="570"/>
      <c r="H114" s="503">
        <v>0</v>
      </c>
      <c r="I114" s="503">
        <v>0</v>
      </c>
      <c r="J114" s="503"/>
      <c r="K114" s="570"/>
      <c r="L114" s="637">
        <f t="shared" si="21"/>
        <v>0</v>
      </c>
      <c r="M114" s="637">
        <f t="shared" si="21"/>
        <v>0</v>
      </c>
      <c r="N114" s="637">
        <f t="shared" si="21"/>
        <v>0</v>
      </c>
      <c r="O114" s="570"/>
      <c r="P114" s="503">
        <f t="shared" si="36"/>
        <v>0</v>
      </c>
      <c r="Q114" s="503">
        <f t="shared" si="37"/>
        <v>0</v>
      </c>
      <c r="R114" s="503">
        <f t="shared" si="38"/>
        <v>0</v>
      </c>
      <c r="S114" s="503">
        <f t="shared" si="25"/>
        <v>0</v>
      </c>
      <c r="T114" s="514">
        <f t="shared" si="35"/>
        <v>0</v>
      </c>
      <c r="U114" s="634"/>
      <c r="V114" s="690">
        <f t="shared" si="22"/>
        <v>0</v>
      </c>
      <c r="W114" s="494"/>
      <c r="X114" s="494"/>
      <c r="Y114" s="494"/>
    </row>
    <row r="115" spans="1:25" ht="52.8" x14ac:dyDescent="0.25">
      <c r="A115" s="527" t="s">
        <v>157</v>
      </c>
      <c r="B115" s="533" t="s">
        <v>158</v>
      </c>
      <c r="C115" s="132"/>
      <c r="D115" s="570">
        <v>100000</v>
      </c>
      <c r="E115" s="570">
        <v>100000</v>
      </c>
      <c r="F115" s="570">
        <v>100000</v>
      </c>
      <c r="G115" s="570"/>
      <c r="H115" s="503">
        <v>100000</v>
      </c>
      <c r="I115" s="503">
        <v>100000</v>
      </c>
      <c r="J115" s="503">
        <v>100000</v>
      </c>
      <c r="K115" s="570"/>
      <c r="L115" s="637">
        <f t="shared" si="21"/>
        <v>1</v>
      </c>
      <c r="M115" s="637">
        <f t="shared" si="21"/>
        <v>1</v>
      </c>
      <c r="N115" s="637">
        <f t="shared" si="21"/>
        <v>1</v>
      </c>
      <c r="O115" s="570"/>
      <c r="P115" s="503">
        <f t="shared" si="36"/>
        <v>100000</v>
      </c>
      <c r="Q115" s="503">
        <f t="shared" si="37"/>
        <v>0</v>
      </c>
      <c r="R115" s="503">
        <f t="shared" si="38"/>
        <v>0</v>
      </c>
      <c r="S115" s="503">
        <f t="shared" si="25"/>
        <v>100000</v>
      </c>
      <c r="T115" s="514">
        <f t="shared" si="35"/>
        <v>0</v>
      </c>
      <c r="U115" s="634"/>
      <c r="V115" s="690">
        <f t="shared" si="22"/>
        <v>0</v>
      </c>
      <c r="W115" s="494"/>
      <c r="X115" s="494"/>
      <c r="Y115" s="494"/>
    </row>
    <row r="116" spans="1:25" x14ac:dyDescent="0.25">
      <c r="A116" s="632" t="s">
        <v>371</v>
      </c>
      <c r="B116" s="533" t="s">
        <v>369</v>
      </c>
      <c r="C116" s="132">
        <v>111577000</v>
      </c>
      <c r="D116" s="570">
        <v>111577000</v>
      </c>
      <c r="E116" s="570">
        <v>111577000</v>
      </c>
      <c r="F116" s="570">
        <v>129414249</v>
      </c>
      <c r="G116" s="570"/>
      <c r="H116" s="503">
        <v>86932443</v>
      </c>
      <c r="I116" s="503">
        <v>98061560</v>
      </c>
      <c r="J116" s="503">
        <v>129384249</v>
      </c>
      <c r="K116" s="570"/>
      <c r="L116" s="637">
        <f t="shared" si="21"/>
        <v>0.7791251153911648</v>
      </c>
      <c r="M116" s="637">
        <f t="shared" si="21"/>
        <v>0.87886894252399683</v>
      </c>
      <c r="N116" s="637">
        <f t="shared" si="21"/>
        <v>0.99976818626826791</v>
      </c>
      <c r="O116" s="570"/>
      <c r="P116" s="503">
        <f t="shared" si="36"/>
        <v>0</v>
      </c>
      <c r="Q116" s="503">
        <f t="shared" si="37"/>
        <v>0</v>
      </c>
      <c r="R116" s="503">
        <f t="shared" si="38"/>
        <v>17837249</v>
      </c>
      <c r="S116" s="503">
        <f t="shared" si="25"/>
        <v>17837249</v>
      </c>
      <c r="T116" s="514">
        <f t="shared" si="35"/>
        <v>0.15986492735958127</v>
      </c>
      <c r="U116" s="634"/>
      <c r="V116" s="690">
        <f t="shared" si="22"/>
        <v>0</v>
      </c>
      <c r="W116" s="494"/>
      <c r="X116" s="494"/>
      <c r="Y116" s="494"/>
    </row>
    <row r="117" spans="1:25" x14ac:dyDescent="0.25">
      <c r="A117" s="527"/>
      <c r="B117" s="533" t="s">
        <v>370</v>
      </c>
      <c r="C117" s="132"/>
      <c r="D117" s="570"/>
      <c r="E117" s="570">
        <v>0</v>
      </c>
      <c r="F117" s="570"/>
      <c r="G117" s="570"/>
      <c r="H117" s="503"/>
      <c r="I117" s="503"/>
      <c r="J117" s="503"/>
      <c r="K117" s="570"/>
      <c r="L117" s="637">
        <f t="shared" si="21"/>
        <v>0</v>
      </c>
      <c r="M117" s="637">
        <f t="shared" si="21"/>
        <v>0</v>
      </c>
      <c r="N117" s="637">
        <f t="shared" si="21"/>
        <v>0</v>
      </c>
      <c r="O117" s="570"/>
      <c r="P117" s="503">
        <f t="shared" si="36"/>
        <v>0</v>
      </c>
      <c r="Q117" s="503">
        <f t="shared" si="37"/>
        <v>0</v>
      </c>
      <c r="R117" s="503">
        <f t="shared" si="38"/>
        <v>0</v>
      </c>
      <c r="S117" s="503">
        <f t="shared" si="25"/>
        <v>0</v>
      </c>
      <c r="T117" s="514">
        <f t="shared" si="35"/>
        <v>0</v>
      </c>
      <c r="U117" s="634"/>
      <c r="V117" s="690">
        <f t="shared" si="22"/>
        <v>0</v>
      </c>
      <c r="W117" s="494"/>
      <c r="X117" s="494"/>
      <c r="Y117" s="494"/>
    </row>
    <row r="118" spans="1:25" x14ac:dyDescent="0.25">
      <c r="A118" s="632" t="s">
        <v>394</v>
      </c>
      <c r="B118" s="533" t="s">
        <v>372</v>
      </c>
      <c r="C118" s="132">
        <v>14954257</v>
      </c>
      <c r="D118" s="570">
        <v>14954257</v>
      </c>
      <c r="E118" s="587">
        <v>14954257</v>
      </c>
      <c r="F118" s="570">
        <v>14954257</v>
      </c>
      <c r="G118" s="570"/>
      <c r="H118" s="503">
        <v>0</v>
      </c>
      <c r="I118" s="503">
        <v>0</v>
      </c>
      <c r="J118" s="503">
        <v>0</v>
      </c>
      <c r="K118" s="570"/>
      <c r="L118" s="637">
        <f t="shared" si="21"/>
        <v>0</v>
      </c>
      <c r="M118" s="637">
        <f t="shared" si="21"/>
        <v>0</v>
      </c>
      <c r="N118" s="637">
        <f t="shared" si="21"/>
        <v>0</v>
      </c>
      <c r="O118" s="570"/>
      <c r="P118" s="503">
        <f t="shared" si="36"/>
        <v>0</v>
      </c>
      <c r="Q118" s="503">
        <f t="shared" si="37"/>
        <v>0</v>
      </c>
      <c r="R118" s="503">
        <f t="shared" si="38"/>
        <v>0</v>
      </c>
      <c r="S118" s="503">
        <f t="shared" si="25"/>
        <v>0</v>
      </c>
      <c r="T118" s="514">
        <f t="shared" si="35"/>
        <v>0</v>
      </c>
      <c r="U118" s="634"/>
      <c r="V118" s="690">
        <f t="shared" si="22"/>
        <v>0</v>
      </c>
      <c r="W118" s="494"/>
      <c r="X118" s="494"/>
      <c r="Y118" s="494"/>
    </row>
    <row r="119" spans="1:25" x14ac:dyDescent="0.25">
      <c r="A119" s="632"/>
      <c r="B119" s="533"/>
      <c r="C119" s="132"/>
      <c r="D119" s="570"/>
      <c r="E119" s="587"/>
      <c r="F119" s="570"/>
      <c r="G119" s="570"/>
      <c r="H119" s="503"/>
      <c r="I119" s="503"/>
      <c r="J119" s="503"/>
      <c r="K119" s="570"/>
      <c r="L119" s="637">
        <f t="shared" si="21"/>
        <v>0</v>
      </c>
      <c r="M119" s="637">
        <f t="shared" si="21"/>
        <v>0</v>
      </c>
      <c r="N119" s="637">
        <f t="shared" si="21"/>
        <v>0</v>
      </c>
      <c r="O119" s="570"/>
      <c r="P119" s="503"/>
      <c r="Q119" s="503"/>
      <c r="R119" s="503"/>
      <c r="S119" s="503"/>
      <c r="T119" s="514"/>
      <c r="U119" s="634"/>
      <c r="V119" s="690">
        <f t="shared" si="22"/>
        <v>0</v>
      </c>
      <c r="W119" s="494"/>
      <c r="X119" s="494"/>
      <c r="Y119" s="494"/>
    </row>
    <row r="120" spans="1:25" x14ac:dyDescent="0.25">
      <c r="A120" s="512" t="s">
        <v>159</v>
      </c>
      <c r="B120" s="513" t="s">
        <v>160</v>
      </c>
      <c r="C120" s="130">
        <f>SUM(C121:C128)</f>
        <v>696367057</v>
      </c>
      <c r="D120" s="130">
        <f>SUM(D121:D128)</f>
        <v>646616628</v>
      </c>
      <c r="E120" s="130">
        <f>SUM(E121:E127)</f>
        <v>637231873</v>
      </c>
      <c r="F120" s="130">
        <f>SUM(F121:F127)</f>
        <v>656988945</v>
      </c>
      <c r="G120" s="130"/>
      <c r="H120" s="641">
        <f>SUM(H121:H128)</f>
        <v>132502306</v>
      </c>
      <c r="I120" s="641">
        <f>SUM(I121:I127)</f>
        <v>138788269</v>
      </c>
      <c r="J120" s="641">
        <f>SUM(J121:J127)</f>
        <v>159500819</v>
      </c>
      <c r="K120" s="130"/>
      <c r="L120" s="636">
        <f t="shared" si="21"/>
        <v>0.20491632949470023</v>
      </c>
      <c r="M120" s="636">
        <f t="shared" si="21"/>
        <v>0.21779869287862819</v>
      </c>
      <c r="N120" s="636">
        <f t="shared" si="21"/>
        <v>0.24277549906109913</v>
      </c>
      <c r="O120" s="130"/>
      <c r="P120" s="641">
        <f>IF(D120&gt;0,+D120-C120,0)</f>
        <v>-49750429</v>
      </c>
      <c r="Q120" s="641">
        <f>IF(E120&gt;0,+E120-D120,0)</f>
        <v>-9384755</v>
      </c>
      <c r="R120" s="641">
        <f>IF(F120&gt;0,+F120-E120,0)</f>
        <v>19757072</v>
      </c>
      <c r="S120" s="641">
        <f t="shared" si="25"/>
        <v>-39378112</v>
      </c>
      <c r="T120" s="514">
        <f t="shared" ref="T120:T127" si="39">IF(C120=0,0,+S120/C120)</f>
        <v>-5.6547924839586428E-2</v>
      </c>
      <c r="U120" s="589"/>
      <c r="V120" s="690">
        <f t="shared" si="22"/>
        <v>0</v>
      </c>
      <c r="W120" s="494"/>
      <c r="X120" s="494"/>
      <c r="Y120" s="494"/>
    </row>
    <row r="121" spans="1:25" x14ac:dyDescent="0.25">
      <c r="A121" s="527" t="s">
        <v>161</v>
      </c>
      <c r="B121" s="533" t="s">
        <v>162</v>
      </c>
      <c r="C121" s="132"/>
      <c r="D121" s="570">
        <v>714000</v>
      </c>
      <c r="E121" s="570">
        <v>714000</v>
      </c>
      <c r="F121" s="570">
        <v>1120000</v>
      </c>
      <c r="G121" s="570"/>
      <c r="H121" s="503">
        <v>714000</v>
      </c>
      <c r="I121" s="503">
        <v>714000</v>
      </c>
      <c r="J121" s="503">
        <v>714000</v>
      </c>
      <c r="K121" s="570"/>
      <c r="L121" s="637">
        <f t="shared" si="21"/>
        <v>1</v>
      </c>
      <c r="M121" s="637">
        <f t="shared" si="21"/>
        <v>1</v>
      </c>
      <c r="N121" s="637">
        <f t="shared" si="21"/>
        <v>0.63749999999999996</v>
      </c>
      <c r="O121" s="570"/>
      <c r="P121" s="503">
        <f t="shared" ref="P121:R127" si="40">+(D121-C121)*P$8</f>
        <v>714000</v>
      </c>
      <c r="Q121" s="503">
        <f t="shared" si="40"/>
        <v>0</v>
      </c>
      <c r="R121" s="503">
        <f t="shared" si="40"/>
        <v>406000</v>
      </c>
      <c r="S121" s="503">
        <f t="shared" si="25"/>
        <v>1120000</v>
      </c>
      <c r="T121" s="514">
        <f t="shared" si="39"/>
        <v>0</v>
      </c>
      <c r="U121" s="634"/>
      <c r="V121" s="690">
        <f t="shared" si="22"/>
        <v>0</v>
      </c>
      <c r="W121" s="494"/>
      <c r="X121" s="494"/>
      <c r="Y121" s="494"/>
    </row>
    <row r="122" spans="1:25" x14ac:dyDescent="0.25">
      <c r="A122" s="527" t="s">
        <v>163</v>
      </c>
      <c r="B122" s="533" t="s">
        <v>164</v>
      </c>
      <c r="C122" s="132">
        <v>696367057</v>
      </c>
      <c r="D122" s="132">
        <v>641579243</v>
      </c>
      <c r="E122" s="587">
        <v>629979243</v>
      </c>
      <c r="F122" s="570">
        <v>639698383</v>
      </c>
      <c r="G122" s="570"/>
      <c r="H122" s="503">
        <v>128973791</v>
      </c>
      <c r="I122" s="503">
        <v>132853791</v>
      </c>
      <c r="J122" s="503">
        <v>142725877</v>
      </c>
      <c r="K122" s="570"/>
      <c r="L122" s="637">
        <f t="shared" si="21"/>
        <v>0.20102550449874826</v>
      </c>
      <c r="M122" s="637">
        <f t="shared" si="21"/>
        <v>0.21088598152431509</v>
      </c>
      <c r="N122" s="637">
        <f t="shared" si="21"/>
        <v>0.22311433136763142</v>
      </c>
      <c r="O122" s="570"/>
      <c r="P122" s="503">
        <f t="shared" si="40"/>
        <v>-54787814</v>
      </c>
      <c r="Q122" s="503">
        <f t="shared" si="40"/>
        <v>-11600000</v>
      </c>
      <c r="R122" s="503">
        <f t="shared" si="40"/>
        <v>9719140</v>
      </c>
      <c r="S122" s="503">
        <f t="shared" si="25"/>
        <v>-56668674</v>
      </c>
      <c r="T122" s="514">
        <f t="shared" si="39"/>
        <v>-8.1377591645608247E-2</v>
      </c>
      <c r="U122" s="634"/>
      <c r="V122" s="690">
        <f t="shared" si="22"/>
        <v>0</v>
      </c>
      <c r="W122" s="494"/>
      <c r="X122" s="494"/>
      <c r="Y122" s="494"/>
    </row>
    <row r="123" spans="1:25" x14ac:dyDescent="0.25">
      <c r="A123" s="527"/>
      <c r="B123" s="533" t="s">
        <v>165</v>
      </c>
      <c r="C123" s="132"/>
      <c r="D123" s="132"/>
      <c r="E123" s="570"/>
      <c r="F123" s="570"/>
      <c r="G123" s="570"/>
      <c r="H123" s="503"/>
      <c r="I123" s="503"/>
      <c r="J123" s="503"/>
      <c r="K123" s="570"/>
      <c r="L123" s="637">
        <f t="shared" si="21"/>
        <v>0</v>
      </c>
      <c r="M123" s="637">
        <f t="shared" si="21"/>
        <v>0</v>
      </c>
      <c r="N123" s="637">
        <f t="shared" si="21"/>
        <v>0</v>
      </c>
      <c r="O123" s="570"/>
      <c r="P123" s="503">
        <f t="shared" si="40"/>
        <v>0</v>
      </c>
      <c r="Q123" s="503">
        <f t="shared" si="40"/>
        <v>0</v>
      </c>
      <c r="R123" s="503">
        <f t="shared" si="40"/>
        <v>0</v>
      </c>
      <c r="S123" s="503">
        <f t="shared" si="25"/>
        <v>0</v>
      </c>
      <c r="T123" s="514">
        <f t="shared" si="39"/>
        <v>0</v>
      </c>
      <c r="U123" s="634"/>
      <c r="V123" s="690">
        <f t="shared" si="22"/>
        <v>0</v>
      </c>
      <c r="W123" s="494"/>
      <c r="X123" s="494"/>
      <c r="Y123" s="494"/>
    </row>
    <row r="124" spans="1:25" x14ac:dyDescent="0.25">
      <c r="A124" s="527" t="s">
        <v>166</v>
      </c>
      <c r="B124" s="533" t="s">
        <v>167</v>
      </c>
      <c r="C124" s="132">
        <v>0</v>
      </c>
      <c r="D124" s="132">
        <v>0</v>
      </c>
      <c r="E124" s="570">
        <v>0</v>
      </c>
      <c r="F124" s="570">
        <v>0</v>
      </c>
      <c r="G124" s="570"/>
      <c r="H124" s="503">
        <v>0</v>
      </c>
      <c r="I124" s="503">
        <v>0</v>
      </c>
      <c r="J124" s="503">
        <v>0</v>
      </c>
      <c r="K124" s="570"/>
      <c r="L124" s="637">
        <f t="shared" si="21"/>
        <v>0</v>
      </c>
      <c r="M124" s="637">
        <f t="shared" si="21"/>
        <v>0</v>
      </c>
      <c r="N124" s="637">
        <f t="shared" si="21"/>
        <v>0</v>
      </c>
      <c r="O124" s="570"/>
      <c r="P124" s="503">
        <f t="shared" si="40"/>
        <v>0</v>
      </c>
      <c r="Q124" s="503">
        <f t="shared" si="40"/>
        <v>0</v>
      </c>
      <c r="R124" s="503">
        <f t="shared" si="40"/>
        <v>0</v>
      </c>
      <c r="S124" s="503">
        <f t="shared" si="25"/>
        <v>0</v>
      </c>
      <c r="T124" s="514">
        <f t="shared" si="39"/>
        <v>0</v>
      </c>
      <c r="U124" s="634"/>
      <c r="V124" s="690">
        <f t="shared" si="22"/>
        <v>0</v>
      </c>
      <c r="W124" s="494"/>
      <c r="X124" s="494"/>
      <c r="Y124" s="494"/>
    </row>
    <row r="125" spans="1:25" x14ac:dyDescent="0.25">
      <c r="A125" s="527" t="s">
        <v>168</v>
      </c>
      <c r="B125" s="533" t="s">
        <v>169</v>
      </c>
      <c r="C125" s="132">
        <v>0</v>
      </c>
      <c r="D125" s="132">
        <v>918583</v>
      </c>
      <c r="E125" s="570">
        <v>2018583</v>
      </c>
      <c r="F125" s="570">
        <v>9339228</v>
      </c>
      <c r="G125" s="570"/>
      <c r="H125" s="503">
        <v>860395</v>
      </c>
      <c r="I125" s="503">
        <v>1839228</v>
      </c>
      <c r="J125" s="503">
        <v>9339228</v>
      </c>
      <c r="K125" s="570"/>
      <c r="L125" s="637">
        <f t="shared" si="21"/>
        <v>0.93665460823899416</v>
      </c>
      <c r="M125" s="637">
        <f t="shared" si="21"/>
        <v>0.91114806772869883</v>
      </c>
      <c r="N125" s="637">
        <f t="shared" si="21"/>
        <v>1</v>
      </c>
      <c r="O125" s="570"/>
      <c r="P125" s="503">
        <f t="shared" si="40"/>
        <v>918583</v>
      </c>
      <c r="Q125" s="503">
        <f t="shared" si="40"/>
        <v>1100000</v>
      </c>
      <c r="R125" s="503">
        <f t="shared" si="40"/>
        <v>7320645</v>
      </c>
      <c r="S125" s="503">
        <f t="shared" si="25"/>
        <v>9339228</v>
      </c>
      <c r="T125" s="514">
        <f t="shared" si="39"/>
        <v>0</v>
      </c>
      <c r="U125" s="634"/>
      <c r="V125" s="690">
        <f t="shared" si="22"/>
        <v>0</v>
      </c>
      <c r="W125" s="494"/>
      <c r="X125" s="494"/>
      <c r="Y125" s="494"/>
    </row>
    <row r="126" spans="1:25" x14ac:dyDescent="0.25">
      <c r="A126" s="527" t="s">
        <v>170</v>
      </c>
      <c r="B126" s="533" t="s">
        <v>171</v>
      </c>
      <c r="C126" s="132">
        <v>0</v>
      </c>
      <c r="D126" s="132">
        <v>0</v>
      </c>
      <c r="E126" s="570">
        <v>115245</v>
      </c>
      <c r="F126" s="570">
        <v>115245</v>
      </c>
      <c r="G126" s="570"/>
      <c r="H126" s="503">
        <v>0</v>
      </c>
      <c r="I126" s="503">
        <v>115245</v>
      </c>
      <c r="J126" s="503">
        <v>115245</v>
      </c>
      <c r="K126" s="570"/>
      <c r="L126" s="637">
        <f t="shared" si="21"/>
        <v>0</v>
      </c>
      <c r="M126" s="637">
        <f t="shared" si="21"/>
        <v>1</v>
      </c>
      <c r="N126" s="637">
        <f t="shared" si="21"/>
        <v>1</v>
      </c>
      <c r="O126" s="570"/>
      <c r="P126" s="503">
        <f t="shared" si="40"/>
        <v>0</v>
      </c>
      <c r="Q126" s="503">
        <f t="shared" si="40"/>
        <v>115245</v>
      </c>
      <c r="R126" s="503">
        <f t="shared" si="40"/>
        <v>0</v>
      </c>
      <c r="S126" s="503">
        <f t="shared" si="25"/>
        <v>115245</v>
      </c>
      <c r="T126" s="514">
        <f t="shared" si="39"/>
        <v>0</v>
      </c>
      <c r="U126" s="634"/>
      <c r="V126" s="690">
        <f t="shared" si="22"/>
        <v>0</v>
      </c>
      <c r="W126" s="494"/>
      <c r="X126" s="494"/>
      <c r="Y126" s="494"/>
    </row>
    <row r="127" spans="1:25" x14ac:dyDescent="0.25">
      <c r="A127" s="527" t="s">
        <v>172</v>
      </c>
      <c r="B127" s="533" t="s">
        <v>173</v>
      </c>
      <c r="C127" s="132"/>
      <c r="D127" s="570">
        <v>3404802</v>
      </c>
      <c r="E127" s="570">
        <v>4404802</v>
      </c>
      <c r="F127" s="570">
        <v>6716089</v>
      </c>
      <c r="G127" s="570"/>
      <c r="H127" s="503">
        <v>1954120</v>
      </c>
      <c r="I127" s="503">
        <v>3266005</v>
      </c>
      <c r="J127" s="503">
        <v>6606469</v>
      </c>
      <c r="K127" s="570"/>
      <c r="L127" s="637">
        <f t="shared" si="21"/>
        <v>0.57393058392235441</v>
      </c>
      <c r="M127" s="637">
        <f t="shared" si="21"/>
        <v>0.74146465607307666</v>
      </c>
      <c r="N127" s="637">
        <f t="shared" si="21"/>
        <v>0.98367800069355837</v>
      </c>
      <c r="O127" s="570"/>
      <c r="P127" s="503">
        <f t="shared" si="40"/>
        <v>3404802</v>
      </c>
      <c r="Q127" s="503">
        <f t="shared" si="40"/>
        <v>1000000</v>
      </c>
      <c r="R127" s="503">
        <f t="shared" si="40"/>
        <v>2311287</v>
      </c>
      <c r="S127" s="503">
        <f t="shared" si="25"/>
        <v>6716089</v>
      </c>
      <c r="T127" s="514">
        <f t="shared" si="39"/>
        <v>0</v>
      </c>
      <c r="U127" s="634"/>
      <c r="V127" s="690">
        <f t="shared" si="22"/>
        <v>0</v>
      </c>
      <c r="W127" s="494"/>
      <c r="X127" s="494"/>
      <c r="Y127" s="494"/>
    </row>
    <row r="128" spans="1:25" x14ac:dyDescent="0.25">
      <c r="A128" s="527"/>
      <c r="B128" s="527"/>
      <c r="C128" s="132"/>
      <c r="D128" s="570"/>
      <c r="E128" s="570"/>
      <c r="F128" s="570"/>
      <c r="G128" s="570"/>
      <c r="H128" s="503"/>
      <c r="I128" s="503"/>
      <c r="J128" s="503"/>
      <c r="K128" s="570"/>
      <c r="L128" s="637">
        <f t="shared" si="21"/>
        <v>0</v>
      </c>
      <c r="M128" s="637">
        <f t="shared" si="21"/>
        <v>0</v>
      </c>
      <c r="N128" s="637">
        <f t="shared" si="21"/>
        <v>0</v>
      </c>
      <c r="O128" s="570"/>
      <c r="P128" s="503"/>
      <c r="Q128" s="503"/>
      <c r="R128" s="503"/>
      <c r="S128" s="503"/>
      <c r="T128" s="514"/>
      <c r="U128" s="634"/>
      <c r="V128" s="690">
        <f t="shared" si="22"/>
        <v>0</v>
      </c>
      <c r="W128" s="494"/>
      <c r="X128" s="494"/>
      <c r="Y128" s="494"/>
    </row>
    <row r="129" spans="1:25" x14ac:dyDescent="0.25">
      <c r="A129" s="512" t="s">
        <v>174</v>
      </c>
      <c r="B129" s="513" t="s">
        <v>175</v>
      </c>
      <c r="C129" s="130">
        <f>SUM(C130:C134)</f>
        <v>69100000</v>
      </c>
      <c r="D129" s="130">
        <f>SUM(D130:D134)</f>
        <v>50100000</v>
      </c>
      <c r="E129" s="130">
        <f t="shared" ref="E129:F129" si="41">SUM(E130:E133)</f>
        <v>50100000</v>
      </c>
      <c r="F129" s="130">
        <f t="shared" si="41"/>
        <v>77092908</v>
      </c>
      <c r="G129" s="130"/>
      <c r="H129" s="641">
        <f>SUM(H130:H134)</f>
        <v>4531320</v>
      </c>
      <c r="I129" s="641">
        <f>SUM(I130:I133)</f>
        <v>5007570</v>
      </c>
      <c r="J129" s="641">
        <f>SUM(J130:J133)</f>
        <v>77092908</v>
      </c>
      <c r="K129" s="130"/>
      <c r="L129" s="636">
        <f t="shared" si="21"/>
        <v>9.0445508982035933E-2</v>
      </c>
      <c r="M129" s="636">
        <f t="shared" si="21"/>
        <v>9.995149700598803E-2</v>
      </c>
      <c r="N129" s="636">
        <f t="shared" si="21"/>
        <v>1</v>
      </c>
      <c r="O129" s="130"/>
      <c r="P129" s="641">
        <f>IF(D129&gt;0,+D129-C129,0)</f>
        <v>-19000000</v>
      </c>
      <c r="Q129" s="641">
        <f>IF(E129&gt;0,+E129-D129,0)</f>
        <v>0</v>
      </c>
      <c r="R129" s="641">
        <f>IF(F129&gt;0,+F129-E129,0)</f>
        <v>26992908</v>
      </c>
      <c r="S129" s="641">
        <f t="shared" si="25"/>
        <v>7992908</v>
      </c>
      <c r="T129" s="514">
        <f>IF(C129=0,0,+S129/C129)</f>
        <v>0.11567160636758321</v>
      </c>
      <c r="U129" s="589"/>
      <c r="V129" s="690">
        <f t="shared" si="22"/>
        <v>0</v>
      </c>
      <c r="W129" s="494"/>
      <c r="X129" s="494"/>
      <c r="Y129" s="494"/>
    </row>
    <row r="130" spans="1:25" x14ac:dyDescent="0.25">
      <c r="A130" s="527" t="s">
        <v>176</v>
      </c>
      <c r="B130" s="533" t="s">
        <v>177</v>
      </c>
      <c r="C130" s="132">
        <v>69100000</v>
      </c>
      <c r="D130" s="570">
        <v>43100000</v>
      </c>
      <c r="E130" s="166">
        <v>43100000</v>
      </c>
      <c r="F130" s="570">
        <v>60768982</v>
      </c>
      <c r="G130" s="570"/>
      <c r="H130" s="503">
        <v>3633874</v>
      </c>
      <c r="I130" s="503">
        <v>4008874</v>
      </c>
      <c r="J130" s="503">
        <v>60768982</v>
      </c>
      <c r="K130" s="570"/>
      <c r="L130" s="637">
        <f t="shared" si="21"/>
        <v>8.4312621809744775E-2</v>
      </c>
      <c r="M130" s="637">
        <f t="shared" si="21"/>
        <v>9.301331786542924E-2</v>
      </c>
      <c r="N130" s="637">
        <f t="shared" si="21"/>
        <v>1</v>
      </c>
      <c r="O130" s="570"/>
      <c r="P130" s="503">
        <f t="shared" ref="P130:R133" si="42">+(D130-C130)*P$8</f>
        <v>-26000000</v>
      </c>
      <c r="Q130" s="503">
        <f t="shared" si="42"/>
        <v>0</v>
      </c>
      <c r="R130" s="503">
        <f t="shared" si="42"/>
        <v>17668982</v>
      </c>
      <c r="S130" s="503">
        <f t="shared" si="25"/>
        <v>-8331018</v>
      </c>
      <c r="T130" s="514">
        <f>IF(C130=0,0,+S130/C130)</f>
        <v>-0.12056465991316932</v>
      </c>
      <c r="U130" s="634"/>
      <c r="V130" s="690">
        <f t="shared" si="22"/>
        <v>0</v>
      </c>
      <c r="W130" s="494"/>
      <c r="X130" s="494"/>
      <c r="Y130" s="494"/>
    </row>
    <row r="131" spans="1:25" x14ac:dyDescent="0.25">
      <c r="A131" s="527" t="s">
        <v>178</v>
      </c>
      <c r="B131" s="533" t="s">
        <v>179</v>
      </c>
      <c r="C131" s="132"/>
      <c r="D131" s="570"/>
      <c r="E131" s="570"/>
      <c r="F131" s="570"/>
      <c r="G131" s="570"/>
      <c r="H131" s="503"/>
      <c r="I131" s="503"/>
      <c r="J131" s="503"/>
      <c r="K131" s="570"/>
      <c r="L131" s="637">
        <f t="shared" si="21"/>
        <v>0</v>
      </c>
      <c r="M131" s="637">
        <f t="shared" si="21"/>
        <v>0</v>
      </c>
      <c r="N131" s="637">
        <f t="shared" si="21"/>
        <v>0</v>
      </c>
      <c r="O131" s="570"/>
      <c r="P131" s="503">
        <f t="shared" si="42"/>
        <v>0</v>
      </c>
      <c r="Q131" s="503">
        <f t="shared" si="42"/>
        <v>0</v>
      </c>
      <c r="R131" s="503">
        <f t="shared" si="42"/>
        <v>0</v>
      </c>
      <c r="S131" s="503">
        <f t="shared" si="25"/>
        <v>0</v>
      </c>
      <c r="T131" s="514">
        <f>IF(C131=0,0,+S131/C131)</f>
        <v>0</v>
      </c>
      <c r="U131" s="634"/>
      <c r="V131" s="690">
        <f t="shared" si="22"/>
        <v>0</v>
      </c>
      <c r="W131" s="494"/>
      <c r="X131" s="494"/>
      <c r="Y131" s="494"/>
    </row>
    <row r="132" spans="1:25" x14ac:dyDescent="0.25">
      <c r="A132" s="527" t="s">
        <v>180</v>
      </c>
      <c r="B132" s="533" t="s">
        <v>181</v>
      </c>
      <c r="C132" s="132">
        <v>0</v>
      </c>
      <c r="D132" s="570">
        <v>0</v>
      </c>
      <c r="E132" s="570">
        <v>0</v>
      </c>
      <c r="F132" s="570"/>
      <c r="G132" s="570"/>
      <c r="H132" s="503">
        <v>0</v>
      </c>
      <c r="I132" s="503"/>
      <c r="J132" s="503"/>
      <c r="K132" s="570"/>
      <c r="L132" s="637">
        <f t="shared" si="21"/>
        <v>0</v>
      </c>
      <c r="M132" s="637">
        <f t="shared" si="21"/>
        <v>0</v>
      </c>
      <c r="N132" s="637">
        <f t="shared" si="21"/>
        <v>0</v>
      </c>
      <c r="O132" s="570"/>
      <c r="P132" s="503">
        <f t="shared" si="42"/>
        <v>0</v>
      </c>
      <c r="Q132" s="503">
        <f t="shared" si="42"/>
        <v>0</v>
      </c>
      <c r="R132" s="503">
        <f t="shared" si="42"/>
        <v>0</v>
      </c>
      <c r="S132" s="503">
        <f t="shared" si="25"/>
        <v>0</v>
      </c>
      <c r="T132" s="514">
        <f>IF(C132=0,0,+S132/C132)</f>
        <v>0</v>
      </c>
      <c r="U132" s="634"/>
      <c r="V132" s="690">
        <f t="shared" si="22"/>
        <v>0</v>
      </c>
      <c r="W132" s="494"/>
      <c r="X132" s="494"/>
      <c r="Y132" s="494"/>
    </row>
    <row r="133" spans="1:25" x14ac:dyDescent="0.25">
      <c r="A133" s="527" t="s">
        <v>182</v>
      </c>
      <c r="B133" s="533" t="s">
        <v>183</v>
      </c>
      <c r="C133" s="132"/>
      <c r="D133" s="570">
        <v>7000000</v>
      </c>
      <c r="E133" s="570">
        <v>7000000</v>
      </c>
      <c r="F133" s="570">
        <v>16323926</v>
      </c>
      <c r="G133" s="570"/>
      <c r="H133" s="503">
        <v>897446</v>
      </c>
      <c r="I133" s="503">
        <v>998696</v>
      </c>
      <c r="J133" s="503">
        <v>16323926</v>
      </c>
      <c r="K133" s="570"/>
      <c r="L133" s="637">
        <f t="shared" si="21"/>
        <v>0.12820657142857142</v>
      </c>
      <c r="M133" s="637">
        <f t="shared" si="21"/>
        <v>0.14267085714285715</v>
      </c>
      <c r="N133" s="637">
        <f t="shared" si="21"/>
        <v>1</v>
      </c>
      <c r="O133" s="570"/>
      <c r="P133" s="503">
        <f t="shared" si="42"/>
        <v>7000000</v>
      </c>
      <c r="Q133" s="503">
        <f t="shared" si="42"/>
        <v>0</v>
      </c>
      <c r="R133" s="503">
        <f t="shared" si="42"/>
        <v>9323926</v>
      </c>
      <c r="S133" s="503">
        <f t="shared" si="25"/>
        <v>16323926</v>
      </c>
      <c r="T133" s="514">
        <f>IF(C133=0,0,+S133/C133)</f>
        <v>0</v>
      </c>
      <c r="U133" s="634"/>
      <c r="V133" s="690">
        <f t="shared" si="22"/>
        <v>0</v>
      </c>
      <c r="W133" s="494"/>
      <c r="X133" s="494"/>
      <c r="Y133" s="494"/>
    </row>
    <row r="134" spans="1:25" x14ac:dyDescent="0.25">
      <c r="A134" s="527"/>
      <c r="B134" s="527"/>
      <c r="C134" s="132"/>
      <c r="D134" s="570"/>
      <c r="E134" s="570"/>
      <c r="F134" s="570"/>
      <c r="G134" s="570"/>
      <c r="H134" s="503"/>
      <c r="I134" s="503"/>
      <c r="J134" s="503"/>
      <c r="K134" s="570"/>
      <c r="L134" s="637">
        <f t="shared" si="21"/>
        <v>0</v>
      </c>
      <c r="M134" s="637">
        <f t="shared" si="21"/>
        <v>0</v>
      </c>
      <c r="N134" s="637">
        <f t="shared" si="21"/>
        <v>0</v>
      </c>
      <c r="O134" s="570"/>
      <c r="P134" s="503"/>
      <c r="Q134" s="503"/>
      <c r="R134" s="503"/>
      <c r="S134" s="503"/>
      <c r="T134" s="514"/>
      <c r="U134" s="634"/>
      <c r="V134" s="690">
        <f t="shared" si="22"/>
        <v>0</v>
      </c>
      <c r="W134" s="494"/>
      <c r="X134" s="494"/>
      <c r="Y134" s="494"/>
    </row>
    <row r="135" spans="1:25" x14ac:dyDescent="0.25">
      <c r="A135" s="512" t="s">
        <v>184</v>
      </c>
      <c r="B135" s="513" t="s">
        <v>185</v>
      </c>
      <c r="C135" s="130"/>
      <c r="D135" s="130">
        <f>SUM(D136:D143)</f>
        <v>300766</v>
      </c>
      <c r="E135" s="130">
        <f>SUM(E136:E143)</f>
        <v>7300766</v>
      </c>
      <c r="F135" s="130">
        <f>SUM(F136:F143)</f>
        <v>463089</v>
      </c>
      <c r="G135" s="645"/>
      <c r="H135" s="641">
        <f>SUM(H136:H143)</f>
        <v>300766</v>
      </c>
      <c r="I135" s="641">
        <f>SUM(I136:I143)</f>
        <v>463089</v>
      </c>
      <c r="J135" s="641">
        <f>SUM(J136:J143)</f>
        <v>463089</v>
      </c>
      <c r="K135" s="645"/>
      <c r="L135" s="636">
        <f t="shared" si="21"/>
        <v>1</v>
      </c>
      <c r="M135" s="636">
        <f t="shared" si="21"/>
        <v>6.3430193489285913E-2</v>
      </c>
      <c r="N135" s="636">
        <f t="shared" si="21"/>
        <v>1</v>
      </c>
      <c r="O135" s="645"/>
      <c r="P135" s="641">
        <f>IF(D135&gt;0,+D135-C135,0)</f>
        <v>300766</v>
      </c>
      <c r="Q135" s="641">
        <f>IF(E135&gt;0,+E135-D135,0)</f>
        <v>7000000</v>
      </c>
      <c r="R135" s="641">
        <f>IF(F135&gt;0,+F135-E135,0)</f>
        <v>-6837677</v>
      </c>
      <c r="S135" s="641">
        <f t="shared" si="25"/>
        <v>463089</v>
      </c>
      <c r="T135" s="514">
        <f t="shared" ref="T135:T143" si="43">IF(C135=0,0,+S135/C135)</f>
        <v>0</v>
      </c>
      <c r="U135" s="646"/>
      <c r="V135" s="690">
        <f t="shared" si="22"/>
        <v>0</v>
      </c>
      <c r="W135" s="494"/>
      <c r="X135" s="494"/>
      <c r="Y135" s="494"/>
    </row>
    <row r="136" spans="1:25" ht="26.4" x14ac:dyDescent="0.25">
      <c r="A136" s="527" t="s">
        <v>186</v>
      </c>
      <c r="B136" s="533" t="s">
        <v>187</v>
      </c>
      <c r="C136" s="132"/>
      <c r="D136" s="570"/>
      <c r="E136" s="570"/>
      <c r="F136" s="570"/>
      <c r="G136" s="570"/>
      <c r="H136" s="503"/>
      <c r="I136" s="503"/>
      <c r="J136" s="503"/>
      <c r="K136" s="570"/>
      <c r="L136" s="637">
        <f t="shared" si="21"/>
        <v>0</v>
      </c>
      <c r="M136" s="637">
        <f t="shared" si="21"/>
        <v>0</v>
      </c>
      <c r="N136" s="637">
        <f t="shared" si="21"/>
        <v>0</v>
      </c>
      <c r="O136" s="570"/>
      <c r="P136" s="503">
        <f t="shared" ref="P136:R143" si="44">+(D136-C136)*P$8</f>
        <v>0</v>
      </c>
      <c r="Q136" s="503">
        <f t="shared" si="44"/>
        <v>0</v>
      </c>
      <c r="R136" s="503">
        <f t="shared" si="44"/>
        <v>0</v>
      </c>
      <c r="S136" s="503">
        <f t="shared" si="25"/>
        <v>0</v>
      </c>
      <c r="T136" s="514">
        <f t="shared" si="43"/>
        <v>0</v>
      </c>
      <c r="U136" s="634"/>
      <c r="V136" s="690">
        <f t="shared" si="22"/>
        <v>0</v>
      </c>
      <c r="W136" s="494"/>
      <c r="X136" s="494"/>
      <c r="Y136" s="494"/>
    </row>
    <row r="137" spans="1:25" ht="26.4" x14ac:dyDescent="0.25">
      <c r="A137" s="527" t="s">
        <v>188</v>
      </c>
      <c r="B137" s="533" t="s">
        <v>189</v>
      </c>
      <c r="C137" s="132"/>
      <c r="D137" s="570"/>
      <c r="E137" s="570"/>
      <c r="F137" s="570"/>
      <c r="G137" s="570"/>
      <c r="H137" s="503"/>
      <c r="I137" s="503"/>
      <c r="J137" s="503"/>
      <c r="K137" s="570"/>
      <c r="L137" s="637">
        <f t="shared" si="21"/>
        <v>0</v>
      </c>
      <c r="M137" s="637">
        <f t="shared" si="21"/>
        <v>0</v>
      </c>
      <c r="N137" s="637">
        <f t="shared" si="21"/>
        <v>0</v>
      </c>
      <c r="O137" s="570"/>
      <c r="P137" s="503">
        <f t="shared" si="44"/>
        <v>0</v>
      </c>
      <c r="Q137" s="503">
        <f t="shared" si="44"/>
        <v>0</v>
      </c>
      <c r="R137" s="503">
        <f t="shared" si="44"/>
        <v>0</v>
      </c>
      <c r="S137" s="503">
        <f t="shared" si="25"/>
        <v>0</v>
      </c>
      <c r="T137" s="514">
        <f t="shared" si="43"/>
        <v>0</v>
      </c>
      <c r="U137" s="634"/>
      <c r="V137" s="690">
        <f t="shared" si="22"/>
        <v>0</v>
      </c>
      <c r="W137" s="494"/>
      <c r="X137" s="494"/>
      <c r="Y137" s="494"/>
    </row>
    <row r="138" spans="1:25" ht="26.4" x14ac:dyDescent="0.25">
      <c r="A138" s="527" t="s">
        <v>190</v>
      </c>
      <c r="B138" s="533" t="s">
        <v>191</v>
      </c>
      <c r="C138" s="132"/>
      <c r="D138" s="570"/>
      <c r="E138" s="570"/>
      <c r="F138" s="570"/>
      <c r="G138" s="570"/>
      <c r="H138" s="503"/>
      <c r="I138" s="503"/>
      <c r="J138" s="503"/>
      <c r="K138" s="570"/>
      <c r="L138" s="637">
        <f t="shared" si="21"/>
        <v>0</v>
      </c>
      <c r="M138" s="637">
        <f t="shared" si="21"/>
        <v>0</v>
      </c>
      <c r="N138" s="637">
        <f t="shared" si="21"/>
        <v>0</v>
      </c>
      <c r="O138" s="570"/>
      <c r="P138" s="503">
        <f t="shared" si="44"/>
        <v>0</v>
      </c>
      <c r="Q138" s="503">
        <f t="shared" si="44"/>
        <v>0</v>
      </c>
      <c r="R138" s="503">
        <f t="shared" si="44"/>
        <v>0</v>
      </c>
      <c r="S138" s="503">
        <f t="shared" si="25"/>
        <v>0</v>
      </c>
      <c r="T138" s="514">
        <f t="shared" si="43"/>
        <v>0</v>
      </c>
      <c r="U138" s="634"/>
      <c r="V138" s="690">
        <f t="shared" si="22"/>
        <v>0</v>
      </c>
      <c r="W138" s="494"/>
      <c r="X138" s="494"/>
      <c r="Y138" s="494"/>
    </row>
    <row r="139" spans="1:25" x14ac:dyDescent="0.25">
      <c r="A139" s="527" t="s">
        <v>192</v>
      </c>
      <c r="B139" s="533" t="s">
        <v>193</v>
      </c>
      <c r="C139" s="132"/>
      <c r="D139" s="570"/>
      <c r="E139" s="570"/>
      <c r="F139" s="570"/>
      <c r="G139" s="570"/>
      <c r="H139" s="503"/>
      <c r="I139" s="503"/>
      <c r="J139" s="503"/>
      <c r="K139" s="570"/>
      <c r="L139" s="637">
        <f t="shared" si="21"/>
        <v>0</v>
      </c>
      <c r="M139" s="637">
        <f t="shared" si="21"/>
        <v>0</v>
      </c>
      <c r="N139" s="637">
        <f t="shared" si="21"/>
        <v>0</v>
      </c>
      <c r="O139" s="570"/>
      <c r="P139" s="503">
        <f t="shared" si="44"/>
        <v>0</v>
      </c>
      <c r="Q139" s="503">
        <f t="shared" si="44"/>
        <v>0</v>
      </c>
      <c r="R139" s="503">
        <f t="shared" si="44"/>
        <v>0</v>
      </c>
      <c r="S139" s="503">
        <f t="shared" si="25"/>
        <v>0</v>
      </c>
      <c r="T139" s="514">
        <f t="shared" si="43"/>
        <v>0</v>
      </c>
      <c r="U139" s="634"/>
      <c r="V139" s="690">
        <f t="shared" si="22"/>
        <v>0</v>
      </c>
      <c r="W139" s="494"/>
      <c r="X139" s="494"/>
      <c r="Y139" s="494"/>
    </row>
    <row r="140" spans="1:25" ht="26.4" x14ac:dyDescent="0.25">
      <c r="A140" s="527" t="s">
        <v>194</v>
      </c>
      <c r="B140" s="533" t="s">
        <v>195</v>
      </c>
      <c r="C140" s="132"/>
      <c r="D140" s="570">
        <v>0</v>
      </c>
      <c r="E140" s="570">
        <v>0</v>
      </c>
      <c r="F140" s="570"/>
      <c r="G140" s="570"/>
      <c r="H140" s="503">
        <v>0</v>
      </c>
      <c r="I140" s="503">
        <v>0</v>
      </c>
      <c r="J140" s="503"/>
      <c r="K140" s="570"/>
      <c r="L140" s="637">
        <f t="shared" si="21"/>
        <v>0</v>
      </c>
      <c r="M140" s="637">
        <f t="shared" si="21"/>
        <v>0</v>
      </c>
      <c r="N140" s="637">
        <f t="shared" si="21"/>
        <v>0</v>
      </c>
      <c r="O140" s="570"/>
      <c r="P140" s="503">
        <f t="shared" si="44"/>
        <v>0</v>
      </c>
      <c r="Q140" s="503">
        <f t="shared" si="44"/>
        <v>0</v>
      </c>
      <c r="R140" s="503">
        <f t="shared" si="44"/>
        <v>0</v>
      </c>
      <c r="S140" s="503">
        <f t="shared" si="25"/>
        <v>0</v>
      </c>
      <c r="T140" s="514">
        <f t="shared" si="43"/>
        <v>0</v>
      </c>
      <c r="U140" s="634"/>
      <c r="V140" s="690">
        <f t="shared" si="22"/>
        <v>0</v>
      </c>
      <c r="W140" s="494"/>
      <c r="X140" s="494"/>
      <c r="Y140" s="494"/>
    </row>
    <row r="141" spans="1:25" ht="26.4" x14ac:dyDescent="0.25">
      <c r="A141" s="527" t="s">
        <v>196</v>
      </c>
      <c r="B141" s="533" t="s">
        <v>197</v>
      </c>
      <c r="C141" s="132"/>
      <c r="D141" s="570">
        <v>300766</v>
      </c>
      <c r="E141" s="570">
        <v>7300766</v>
      </c>
      <c r="F141" s="570">
        <v>463089</v>
      </c>
      <c r="G141" s="570"/>
      <c r="H141" s="503">
        <v>300766</v>
      </c>
      <c r="I141" s="503">
        <v>463089</v>
      </c>
      <c r="J141" s="503">
        <v>463089</v>
      </c>
      <c r="K141" s="570"/>
      <c r="L141" s="637">
        <f t="shared" ref="L141:N168" si="45">IF(D141=0,0,H141/D141)</f>
        <v>1</v>
      </c>
      <c r="M141" s="637">
        <f t="shared" si="45"/>
        <v>6.3430193489285913E-2</v>
      </c>
      <c r="N141" s="637">
        <f t="shared" si="45"/>
        <v>1</v>
      </c>
      <c r="O141" s="570"/>
      <c r="P141" s="503">
        <f t="shared" si="44"/>
        <v>300766</v>
      </c>
      <c r="Q141" s="503">
        <f t="shared" si="44"/>
        <v>7000000</v>
      </c>
      <c r="R141" s="503">
        <f t="shared" si="44"/>
        <v>-6837677</v>
      </c>
      <c r="S141" s="503">
        <f t="shared" si="25"/>
        <v>463089</v>
      </c>
      <c r="T141" s="514">
        <f t="shared" si="43"/>
        <v>0</v>
      </c>
      <c r="U141" s="634"/>
      <c r="V141" s="690">
        <f t="shared" si="22"/>
        <v>0</v>
      </c>
      <c r="W141" s="494"/>
      <c r="X141" s="494"/>
      <c r="Y141" s="494"/>
    </row>
    <row r="142" spans="1:25" x14ac:dyDescent="0.25">
      <c r="A142" s="527" t="s">
        <v>198</v>
      </c>
      <c r="B142" s="533" t="s">
        <v>199</v>
      </c>
      <c r="C142" s="132"/>
      <c r="D142" s="570"/>
      <c r="E142" s="570">
        <v>0</v>
      </c>
      <c r="F142" s="570"/>
      <c r="G142" s="570"/>
      <c r="H142" s="503"/>
      <c r="I142" s="503"/>
      <c r="J142" s="503"/>
      <c r="K142" s="570"/>
      <c r="L142" s="637">
        <f t="shared" si="45"/>
        <v>0</v>
      </c>
      <c r="M142" s="637">
        <f t="shared" si="45"/>
        <v>0</v>
      </c>
      <c r="N142" s="637">
        <f t="shared" si="45"/>
        <v>0</v>
      </c>
      <c r="O142" s="570"/>
      <c r="P142" s="503">
        <f t="shared" si="44"/>
        <v>0</v>
      </c>
      <c r="Q142" s="503">
        <f t="shared" si="44"/>
        <v>0</v>
      </c>
      <c r="R142" s="503">
        <f t="shared" si="44"/>
        <v>0</v>
      </c>
      <c r="S142" s="503">
        <f t="shared" si="25"/>
        <v>0</v>
      </c>
      <c r="T142" s="514">
        <f t="shared" si="43"/>
        <v>0</v>
      </c>
      <c r="U142" s="634"/>
      <c r="V142" s="690">
        <f t="shared" si="22"/>
        <v>0</v>
      </c>
      <c r="W142" s="494"/>
      <c r="X142" s="494"/>
      <c r="Y142" s="494"/>
    </row>
    <row r="143" spans="1:25" x14ac:dyDescent="0.25">
      <c r="A143" s="527" t="s">
        <v>200</v>
      </c>
      <c r="B143" s="533" t="s">
        <v>201</v>
      </c>
      <c r="C143" s="132"/>
      <c r="D143" s="570"/>
      <c r="E143" s="570">
        <v>0</v>
      </c>
      <c r="F143" s="570"/>
      <c r="G143" s="570"/>
      <c r="H143" s="503"/>
      <c r="I143" s="503"/>
      <c r="J143" s="503"/>
      <c r="K143" s="570"/>
      <c r="L143" s="637">
        <f t="shared" si="45"/>
        <v>0</v>
      </c>
      <c r="M143" s="637">
        <f t="shared" si="45"/>
        <v>0</v>
      </c>
      <c r="N143" s="637">
        <f t="shared" si="45"/>
        <v>0</v>
      </c>
      <c r="O143" s="570"/>
      <c r="P143" s="503">
        <f t="shared" si="44"/>
        <v>0</v>
      </c>
      <c r="Q143" s="503">
        <f t="shared" si="44"/>
        <v>0</v>
      </c>
      <c r="R143" s="503">
        <f t="shared" si="44"/>
        <v>0</v>
      </c>
      <c r="S143" s="503">
        <f t="shared" si="25"/>
        <v>0</v>
      </c>
      <c r="T143" s="514">
        <f t="shared" si="43"/>
        <v>0</v>
      </c>
      <c r="U143" s="634"/>
      <c r="V143" s="690">
        <f t="shared" si="22"/>
        <v>0</v>
      </c>
      <c r="W143" s="494"/>
      <c r="X143" s="494"/>
      <c r="Y143" s="494"/>
    </row>
    <row r="144" spans="1:25" x14ac:dyDescent="0.25">
      <c r="A144" s="527"/>
      <c r="B144" s="527"/>
      <c r="C144" s="132"/>
      <c r="D144" s="570"/>
      <c r="E144" s="570"/>
      <c r="F144" s="570"/>
      <c r="G144" s="570"/>
      <c r="H144" s="503"/>
      <c r="I144" s="503"/>
      <c r="J144" s="503"/>
      <c r="K144" s="570"/>
      <c r="L144" s="637">
        <f t="shared" si="45"/>
        <v>0</v>
      </c>
      <c r="M144" s="637">
        <f t="shared" si="45"/>
        <v>0</v>
      </c>
      <c r="N144" s="637">
        <f t="shared" si="45"/>
        <v>0</v>
      </c>
      <c r="O144" s="570"/>
      <c r="P144" s="503"/>
      <c r="Q144" s="503"/>
      <c r="R144" s="503"/>
      <c r="S144" s="503"/>
      <c r="T144" s="514"/>
      <c r="U144" s="634"/>
      <c r="V144" s="690">
        <f t="shared" ref="V144:V168" si="46">+S144-F144+C144</f>
        <v>0</v>
      </c>
      <c r="W144" s="494"/>
      <c r="X144" s="494"/>
      <c r="Y144" s="494"/>
    </row>
    <row r="145" spans="1:25" x14ac:dyDescent="0.25">
      <c r="A145" s="512" t="s">
        <v>202</v>
      </c>
      <c r="B145" s="513" t="s">
        <v>203</v>
      </c>
      <c r="C145" s="130">
        <f>SUM(C146:C167)</f>
        <v>517816126.25</v>
      </c>
      <c r="D145" s="130">
        <f>SUM(D146:D167)</f>
        <v>523520226</v>
      </c>
      <c r="E145" s="130">
        <f t="shared" ref="E145:F145" si="47">SUM(E146:E166)</f>
        <v>523520226</v>
      </c>
      <c r="F145" s="130">
        <f t="shared" si="47"/>
        <v>516281397</v>
      </c>
      <c r="G145" s="130"/>
      <c r="H145" s="641">
        <f>SUM(H146:H167)</f>
        <v>271896006</v>
      </c>
      <c r="I145" s="641">
        <f>SUM(I146:I166)</f>
        <v>392457140</v>
      </c>
      <c r="J145" s="641">
        <f>SUM(J146:J166)</f>
        <v>516281397</v>
      </c>
      <c r="K145" s="130"/>
      <c r="L145" s="636">
        <f t="shared" si="45"/>
        <v>0.51936103420004254</v>
      </c>
      <c r="M145" s="636">
        <f t="shared" si="45"/>
        <v>0.74965038695563213</v>
      </c>
      <c r="N145" s="636">
        <f t="shared" si="45"/>
        <v>1</v>
      </c>
      <c r="O145" s="130"/>
      <c r="P145" s="641">
        <f>IF(D145&gt;0,+D145-C145,0)</f>
        <v>5704099.75</v>
      </c>
      <c r="Q145" s="641">
        <f>IF(E145&gt;0,+E145-D145,0)</f>
        <v>0</v>
      </c>
      <c r="R145" s="641">
        <f>IF(F145&gt;0,+F145-E145,0)</f>
        <v>-7238829</v>
      </c>
      <c r="S145" s="641">
        <f t="shared" ref="S145:S168" si="48">SUM(P145:R145)</f>
        <v>-1534729.25</v>
      </c>
      <c r="T145" s="514">
        <f t="shared" ref="T145:T166" si="49">IF(C145=0,0,+S145/C145)</f>
        <v>-2.9638498536429078E-3</v>
      </c>
      <c r="U145" s="589"/>
      <c r="V145" s="690">
        <f t="shared" si="46"/>
        <v>0</v>
      </c>
      <c r="W145" s="494"/>
      <c r="X145" s="494"/>
      <c r="Y145" s="494"/>
    </row>
    <row r="146" spans="1:25" x14ac:dyDescent="0.25">
      <c r="A146" s="527" t="s">
        <v>204</v>
      </c>
      <c r="B146" s="533" t="s">
        <v>205</v>
      </c>
      <c r="C146" s="132"/>
      <c r="D146" s="570"/>
      <c r="E146" s="570">
        <v>0</v>
      </c>
      <c r="F146" s="570"/>
      <c r="G146" s="570"/>
      <c r="H146" s="503"/>
      <c r="I146" s="503"/>
      <c r="J146" s="503"/>
      <c r="K146" s="570"/>
      <c r="L146" s="637">
        <f t="shared" si="45"/>
        <v>0</v>
      </c>
      <c r="M146" s="637">
        <f t="shared" si="45"/>
        <v>0</v>
      </c>
      <c r="N146" s="637">
        <f t="shared" si="45"/>
        <v>0</v>
      </c>
      <c r="O146" s="570"/>
      <c r="P146" s="503">
        <f t="shared" ref="P146:P166" si="50">+(D146-C146)*P$8</f>
        <v>0</v>
      </c>
      <c r="Q146" s="503">
        <f t="shared" ref="Q146:Q166" si="51">+(E146-D146)*Q$8</f>
        <v>0</v>
      </c>
      <c r="R146" s="503">
        <f t="shared" ref="R146:R166" si="52">+(F146-E146)*R$8</f>
        <v>0</v>
      </c>
      <c r="S146" s="503">
        <f t="shared" si="48"/>
        <v>0</v>
      </c>
      <c r="T146" s="514">
        <f t="shared" si="49"/>
        <v>0</v>
      </c>
      <c r="U146" s="634"/>
      <c r="V146" s="690">
        <f t="shared" si="46"/>
        <v>0</v>
      </c>
      <c r="W146" s="494"/>
      <c r="X146" s="494"/>
      <c r="Y146" s="494"/>
    </row>
    <row r="147" spans="1:25" x14ac:dyDescent="0.25">
      <c r="A147" s="527" t="s">
        <v>206</v>
      </c>
      <c r="B147" s="533" t="s">
        <v>207</v>
      </c>
      <c r="C147" s="132">
        <v>0</v>
      </c>
      <c r="D147" s="570">
        <v>0</v>
      </c>
      <c r="E147" s="570">
        <v>0</v>
      </c>
      <c r="F147" s="570"/>
      <c r="G147" s="570"/>
      <c r="H147" s="503"/>
      <c r="I147" s="503"/>
      <c r="J147" s="503"/>
      <c r="K147" s="570"/>
      <c r="L147" s="637">
        <f t="shared" si="45"/>
        <v>0</v>
      </c>
      <c r="M147" s="637">
        <f t="shared" si="45"/>
        <v>0</v>
      </c>
      <c r="N147" s="637">
        <f t="shared" si="45"/>
        <v>0</v>
      </c>
      <c r="O147" s="570"/>
      <c r="P147" s="503">
        <f t="shared" si="50"/>
        <v>0</v>
      </c>
      <c r="Q147" s="503">
        <f t="shared" si="51"/>
        <v>0</v>
      </c>
      <c r="R147" s="503">
        <f t="shared" si="52"/>
        <v>0</v>
      </c>
      <c r="S147" s="503">
        <f t="shared" si="48"/>
        <v>0</v>
      </c>
      <c r="T147" s="514">
        <f t="shared" si="49"/>
        <v>0</v>
      </c>
      <c r="U147" s="634"/>
      <c r="V147" s="690">
        <f t="shared" si="46"/>
        <v>0</v>
      </c>
      <c r="W147" s="494"/>
      <c r="X147" s="494"/>
      <c r="Y147" s="494"/>
    </row>
    <row r="148" spans="1:25" x14ac:dyDescent="0.25">
      <c r="A148" s="527" t="s">
        <v>208</v>
      </c>
      <c r="B148" s="533" t="s">
        <v>209</v>
      </c>
      <c r="C148" s="132"/>
      <c r="D148" s="570"/>
      <c r="E148" s="570">
        <v>0</v>
      </c>
      <c r="F148" s="570"/>
      <c r="G148" s="570"/>
      <c r="H148" s="503"/>
      <c r="I148" s="503"/>
      <c r="J148" s="503"/>
      <c r="K148" s="570"/>
      <c r="L148" s="637">
        <f t="shared" si="45"/>
        <v>0</v>
      </c>
      <c r="M148" s="637">
        <f t="shared" si="45"/>
        <v>0</v>
      </c>
      <c r="N148" s="637">
        <f t="shared" si="45"/>
        <v>0</v>
      </c>
      <c r="O148" s="570"/>
      <c r="P148" s="503">
        <f t="shared" si="50"/>
        <v>0</v>
      </c>
      <c r="Q148" s="503">
        <f t="shared" si="51"/>
        <v>0</v>
      </c>
      <c r="R148" s="503">
        <f t="shared" si="52"/>
        <v>0</v>
      </c>
      <c r="S148" s="503">
        <f t="shared" si="48"/>
        <v>0</v>
      </c>
      <c r="T148" s="514">
        <f t="shared" si="49"/>
        <v>0</v>
      </c>
      <c r="U148" s="634"/>
      <c r="V148" s="690">
        <f t="shared" si="46"/>
        <v>0</v>
      </c>
      <c r="W148" s="494"/>
      <c r="X148" s="494"/>
      <c r="Y148" s="494"/>
    </row>
    <row r="149" spans="1:25" ht="26.4" x14ac:dyDescent="0.25">
      <c r="A149" s="527" t="s">
        <v>210</v>
      </c>
      <c r="B149" s="533" t="s">
        <v>211</v>
      </c>
      <c r="C149" s="132"/>
      <c r="D149" s="570"/>
      <c r="E149" s="570">
        <v>0</v>
      </c>
      <c r="F149" s="570"/>
      <c r="G149" s="570"/>
      <c r="H149" s="503"/>
      <c r="I149" s="503"/>
      <c r="J149" s="503"/>
      <c r="K149" s="570"/>
      <c r="L149" s="637">
        <f t="shared" si="45"/>
        <v>0</v>
      </c>
      <c r="M149" s="637">
        <f t="shared" si="45"/>
        <v>0</v>
      </c>
      <c r="N149" s="637">
        <f t="shared" si="45"/>
        <v>0</v>
      </c>
      <c r="O149" s="570"/>
      <c r="P149" s="503">
        <f t="shared" si="50"/>
        <v>0</v>
      </c>
      <c r="Q149" s="503">
        <f t="shared" si="51"/>
        <v>0</v>
      </c>
      <c r="R149" s="503">
        <f t="shared" si="52"/>
        <v>0</v>
      </c>
      <c r="S149" s="503">
        <f t="shared" si="48"/>
        <v>0</v>
      </c>
      <c r="T149" s="514">
        <f t="shared" si="49"/>
        <v>0</v>
      </c>
      <c r="U149" s="634"/>
      <c r="V149" s="690">
        <f t="shared" si="46"/>
        <v>0</v>
      </c>
      <c r="W149" s="494"/>
      <c r="X149" s="494"/>
      <c r="Y149" s="494"/>
    </row>
    <row r="150" spans="1:25" ht="26.4" x14ac:dyDescent="0.25">
      <c r="A150" s="527"/>
      <c r="B150" s="533" t="s">
        <v>212</v>
      </c>
      <c r="C150" s="132"/>
      <c r="D150" s="570"/>
      <c r="E150" s="570">
        <v>0</v>
      </c>
      <c r="F150" s="570"/>
      <c r="G150" s="570"/>
      <c r="H150" s="503"/>
      <c r="I150" s="503"/>
      <c r="J150" s="503"/>
      <c r="K150" s="570"/>
      <c r="L150" s="637">
        <f t="shared" si="45"/>
        <v>0</v>
      </c>
      <c r="M150" s="637">
        <f t="shared" si="45"/>
        <v>0</v>
      </c>
      <c r="N150" s="637">
        <f t="shared" si="45"/>
        <v>0</v>
      </c>
      <c r="O150" s="570"/>
      <c r="P150" s="503">
        <f t="shared" si="50"/>
        <v>0</v>
      </c>
      <c r="Q150" s="503">
        <f t="shared" si="51"/>
        <v>0</v>
      </c>
      <c r="R150" s="503">
        <f t="shared" si="52"/>
        <v>0</v>
      </c>
      <c r="S150" s="503">
        <f t="shared" si="48"/>
        <v>0</v>
      </c>
      <c r="T150" s="514">
        <f t="shared" si="49"/>
        <v>0</v>
      </c>
      <c r="U150" s="634"/>
      <c r="V150" s="690">
        <f t="shared" si="46"/>
        <v>0</v>
      </c>
      <c r="W150" s="494"/>
      <c r="X150" s="494"/>
      <c r="Y150" s="494"/>
    </row>
    <row r="151" spans="1:25" x14ac:dyDescent="0.25">
      <c r="A151" s="527" t="s">
        <v>213</v>
      </c>
      <c r="B151" s="533" t="s">
        <v>214</v>
      </c>
      <c r="C151" s="132"/>
      <c r="D151" s="570"/>
      <c r="E151" s="570">
        <v>0</v>
      </c>
      <c r="F151" s="570"/>
      <c r="G151" s="570"/>
      <c r="H151" s="503">
        <v>0</v>
      </c>
      <c r="I151" s="503"/>
      <c r="J151" s="503"/>
      <c r="K151" s="570"/>
      <c r="L151" s="637">
        <f t="shared" si="45"/>
        <v>0</v>
      </c>
      <c r="M151" s="637">
        <f t="shared" si="45"/>
        <v>0</v>
      </c>
      <c r="N151" s="637">
        <f t="shared" si="45"/>
        <v>0</v>
      </c>
      <c r="O151" s="570"/>
      <c r="P151" s="503">
        <f t="shared" si="50"/>
        <v>0</v>
      </c>
      <c r="Q151" s="503">
        <f t="shared" si="51"/>
        <v>0</v>
      </c>
      <c r="R151" s="503">
        <f t="shared" si="52"/>
        <v>0</v>
      </c>
      <c r="S151" s="503">
        <f t="shared" si="48"/>
        <v>0</v>
      </c>
      <c r="T151" s="514">
        <f t="shared" si="49"/>
        <v>0</v>
      </c>
      <c r="U151" s="634"/>
      <c r="V151" s="690">
        <f t="shared" si="46"/>
        <v>0</v>
      </c>
      <c r="W151" s="494"/>
      <c r="X151" s="494"/>
      <c r="Y151" s="494"/>
    </row>
    <row r="152" spans="1:25" ht="26.4" x14ac:dyDescent="0.25">
      <c r="A152" s="527"/>
      <c r="B152" s="533" t="s">
        <v>215</v>
      </c>
      <c r="C152" s="132"/>
      <c r="D152" s="570"/>
      <c r="E152" s="570">
        <v>0</v>
      </c>
      <c r="F152" s="570"/>
      <c r="G152" s="570"/>
      <c r="H152" s="503"/>
      <c r="I152" s="503"/>
      <c r="J152" s="503"/>
      <c r="K152" s="570"/>
      <c r="L152" s="637">
        <f t="shared" si="45"/>
        <v>0</v>
      </c>
      <c r="M152" s="637">
        <f t="shared" si="45"/>
        <v>0</v>
      </c>
      <c r="N152" s="637">
        <f t="shared" si="45"/>
        <v>0</v>
      </c>
      <c r="O152" s="570"/>
      <c r="P152" s="503">
        <f t="shared" si="50"/>
        <v>0</v>
      </c>
      <c r="Q152" s="503">
        <f t="shared" si="51"/>
        <v>0</v>
      </c>
      <c r="R152" s="503">
        <f t="shared" si="52"/>
        <v>0</v>
      </c>
      <c r="S152" s="503">
        <f t="shared" si="48"/>
        <v>0</v>
      </c>
      <c r="T152" s="514">
        <f t="shared" si="49"/>
        <v>0</v>
      </c>
      <c r="U152" s="634"/>
      <c r="V152" s="690">
        <f t="shared" si="46"/>
        <v>0</v>
      </c>
      <c r="W152" s="494"/>
      <c r="X152" s="494"/>
      <c r="Y152" s="494"/>
    </row>
    <row r="153" spans="1:25" x14ac:dyDescent="0.25">
      <c r="A153" s="527" t="s">
        <v>216</v>
      </c>
      <c r="B153" s="533" t="s">
        <v>217</v>
      </c>
      <c r="C153" s="132"/>
      <c r="D153" s="570"/>
      <c r="E153" s="570">
        <v>0</v>
      </c>
      <c r="F153" s="570"/>
      <c r="G153" s="570"/>
      <c r="H153" s="503"/>
      <c r="I153" s="503">
        <v>0</v>
      </c>
      <c r="J153" s="503"/>
      <c r="K153" s="570"/>
      <c r="L153" s="637">
        <f t="shared" si="45"/>
        <v>0</v>
      </c>
      <c r="M153" s="637">
        <f t="shared" si="45"/>
        <v>0</v>
      </c>
      <c r="N153" s="637">
        <f t="shared" si="45"/>
        <v>0</v>
      </c>
      <c r="O153" s="570"/>
      <c r="P153" s="503">
        <f t="shared" si="50"/>
        <v>0</v>
      </c>
      <c r="Q153" s="503">
        <f t="shared" si="51"/>
        <v>0</v>
      </c>
      <c r="R153" s="503">
        <f t="shared" si="52"/>
        <v>0</v>
      </c>
      <c r="S153" s="503">
        <f t="shared" si="48"/>
        <v>0</v>
      </c>
      <c r="T153" s="514">
        <f t="shared" si="49"/>
        <v>0</v>
      </c>
      <c r="U153" s="634"/>
      <c r="V153" s="690">
        <f t="shared" si="46"/>
        <v>0</v>
      </c>
      <c r="W153" s="494"/>
      <c r="X153" s="494"/>
      <c r="Y153" s="494"/>
    </row>
    <row r="154" spans="1:25" x14ac:dyDescent="0.25">
      <c r="A154" s="527" t="s">
        <v>218</v>
      </c>
      <c r="B154" s="533" t="s">
        <v>219</v>
      </c>
      <c r="C154" s="132"/>
      <c r="D154" s="570"/>
      <c r="E154" s="570">
        <v>0</v>
      </c>
      <c r="F154" s="570"/>
      <c r="G154" s="570"/>
      <c r="H154" s="503"/>
      <c r="I154" s="503"/>
      <c r="J154" s="503"/>
      <c r="K154" s="570"/>
      <c r="L154" s="637">
        <f t="shared" si="45"/>
        <v>0</v>
      </c>
      <c r="M154" s="637">
        <f t="shared" si="45"/>
        <v>0</v>
      </c>
      <c r="N154" s="637">
        <f t="shared" si="45"/>
        <v>0</v>
      </c>
      <c r="O154" s="570"/>
      <c r="P154" s="503">
        <f t="shared" si="50"/>
        <v>0</v>
      </c>
      <c r="Q154" s="503">
        <f t="shared" si="51"/>
        <v>0</v>
      </c>
      <c r="R154" s="503">
        <f t="shared" si="52"/>
        <v>0</v>
      </c>
      <c r="S154" s="503">
        <f t="shared" si="48"/>
        <v>0</v>
      </c>
      <c r="T154" s="514">
        <f t="shared" si="49"/>
        <v>0</v>
      </c>
      <c r="U154" s="634"/>
      <c r="V154" s="690">
        <f t="shared" si="46"/>
        <v>0</v>
      </c>
      <c r="W154" s="494"/>
      <c r="X154" s="494"/>
      <c r="Y154" s="494"/>
    </row>
    <row r="155" spans="1:25" x14ac:dyDescent="0.25">
      <c r="A155" s="527" t="s">
        <v>220</v>
      </c>
      <c r="B155" s="533" t="s">
        <v>222</v>
      </c>
      <c r="C155" s="132"/>
      <c r="D155" s="570"/>
      <c r="E155" s="570">
        <v>0</v>
      </c>
      <c r="F155" s="570"/>
      <c r="G155" s="570"/>
      <c r="H155" s="503"/>
      <c r="I155" s="503"/>
      <c r="J155" s="503"/>
      <c r="K155" s="570"/>
      <c r="L155" s="637">
        <f t="shared" si="45"/>
        <v>0</v>
      </c>
      <c r="M155" s="637">
        <f t="shared" si="45"/>
        <v>0</v>
      </c>
      <c r="N155" s="637">
        <f t="shared" si="45"/>
        <v>0</v>
      </c>
      <c r="O155" s="570"/>
      <c r="P155" s="503">
        <f t="shared" si="50"/>
        <v>0</v>
      </c>
      <c r="Q155" s="503">
        <f t="shared" si="51"/>
        <v>0</v>
      </c>
      <c r="R155" s="503">
        <f t="shared" si="52"/>
        <v>0</v>
      </c>
      <c r="S155" s="503">
        <f t="shared" si="48"/>
        <v>0</v>
      </c>
      <c r="T155" s="514">
        <f t="shared" si="49"/>
        <v>0</v>
      </c>
      <c r="U155" s="634"/>
      <c r="V155" s="690">
        <f t="shared" si="46"/>
        <v>0</v>
      </c>
      <c r="W155" s="494"/>
      <c r="X155" s="494"/>
      <c r="Y155" s="494"/>
    </row>
    <row r="156" spans="1:25" x14ac:dyDescent="0.25">
      <c r="A156" s="527" t="s">
        <v>221</v>
      </c>
      <c r="B156" s="533" t="s">
        <v>223</v>
      </c>
      <c r="C156" s="132"/>
      <c r="D156" s="570"/>
      <c r="E156" s="570"/>
      <c r="F156" s="570"/>
      <c r="G156" s="570"/>
      <c r="H156" s="503"/>
      <c r="I156" s="503"/>
      <c r="J156" s="503"/>
      <c r="K156" s="570"/>
      <c r="L156" s="637">
        <f t="shared" si="45"/>
        <v>0</v>
      </c>
      <c r="M156" s="637">
        <f t="shared" si="45"/>
        <v>0</v>
      </c>
      <c r="N156" s="637">
        <f t="shared" si="45"/>
        <v>0</v>
      </c>
      <c r="O156" s="570"/>
      <c r="P156" s="503">
        <f t="shared" si="50"/>
        <v>0</v>
      </c>
      <c r="Q156" s="503">
        <f t="shared" si="51"/>
        <v>0</v>
      </c>
      <c r="R156" s="503">
        <f t="shared" si="52"/>
        <v>0</v>
      </c>
      <c r="S156" s="503">
        <f t="shared" si="48"/>
        <v>0</v>
      </c>
      <c r="T156" s="514">
        <f t="shared" si="49"/>
        <v>0</v>
      </c>
      <c r="U156" s="634"/>
      <c r="V156" s="690">
        <f t="shared" si="46"/>
        <v>0</v>
      </c>
      <c r="W156" s="494"/>
      <c r="X156" s="494"/>
      <c r="Y156" s="494"/>
    </row>
    <row r="157" spans="1:25" x14ac:dyDescent="0.25">
      <c r="A157" s="527" t="s">
        <v>224</v>
      </c>
      <c r="B157" s="533" t="s">
        <v>225</v>
      </c>
      <c r="C157" s="132"/>
      <c r="D157" s="570"/>
      <c r="E157" s="570"/>
      <c r="F157" s="570"/>
      <c r="G157" s="570"/>
      <c r="H157" s="503"/>
      <c r="I157" s="503"/>
      <c r="J157" s="503"/>
      <c r="K157" s="570"/>
      <c r="L157" s="637">
        <f t="shared" si="45"/>
        <v>0</v>
      </c>
      <c r="M157" s="637">
        <f t="shared" si="45"/>
        <v>0</v>
      </c>
      <c r="N157" s="637">
        <f t="shared" si="45"/>
        <v>0</v>
      </c>
      <c r="O157" s="570"/>
      <c r="P157" s="503">
        <f t="shared" si="50"/>
        <v>0</v>
      </c>
      <c r="Q157" s="503">
        <f t="shared" si="51"/>
        <v>0</v>
      </c>
      <c r="R157" s="503">
        <f t="shared" si="52"/>
        <v>0</v>
      </c>
      <c r="S157" s="503">
        <f t="shared" si="48"/>
        <v>0</v>
      </c>
      <c r="T157" s="514">
        <f t="shared" si="49"/>
        <v>0</v>
      </c>
      <c r="U157" s="634"/>
      <c r="V157" s="690">
        <f t="shared" si="46"/>
        <v>0</v>
      </c>
      <c r="W157" s="494"/>
      <c r="X157" s="494"/>
      <c r="Y157" s="494"/>
    </row>
    <row r="158" spans="1:25" x14ac:dyDescent="0.25">
      <c r="A158" s="527" t="s">
        <v>226</v>
      </c>
      <c r="B158" s="533" t="s">
        <v>227</v>
      </c>
      <c r="C158" s="520"/>
      <c r="D158" s="570"/>
      <c r="E158" s="570"/>
      <c r="F158" s="570"/>
      <c r="G158" s="570"/>
      <c r="H158" s="503"/>
      <c r="I158" s="503"/>
      <c r="J158" s="503"/>
      <c r="K158" s="570"/>
      <c r="L158" s="637">
        <f t="shared" si="45"/>
        <v>0</v>
      </c>
      <c r="M158" s="637">
        <f t="shared" si="45"/>
        <v>0</v>
      </c>
      <c r="N158" s="637">
        <f t="shared" si="45"/>
        <v>0</v>
      </c>
      <c r="O158" s="570"/>
      <c r="P158" s="503">
        <f t="shared" si="50"/>
        <v>0</v>
      </c>
      <c r="Q158" s="503">
        <f t="shared" si="51"/>
        <v>0</v>
      </c>
      <c r="R158" s="503">
        <f t="shared" si="52"/>
        <v>0</v>
      </c>
      <c r="S158" s="503">
        <f t="shared" si="48"/>
        <v>0</v>
      </c>
      <c r="T158" s="514">
        <f t="shared" si="49"/>
        <v>0</v>
      </c>
      <c r="U158" s="634"/>
      <c r="V158" s="690">
        <f t="shared" si="46"/>
        <v>0</v>
      </c>
      <c r="W158" s="494"/>
      <c r="X158" s="494"/>
      <c r="Y158" s="494"/>
    </row>
    <row r="159" spans="1:25" x14ac:dyDescent="0.25">
      <c r="A159" s="527" t="s">
        <v>228</v>
      </c>
      <c r="B159" s="533" t="s">
        <v>229</v>
      </c>
      <c r="C159" s="520">
        <v>18662628</v>
      </c>
      <c r="D159" s="520">
        <v>18662628</v>
      </c>
      <c r="E159" s="520">
        <v>18662628</v>
      </c>
      <c r="F159" s="570">
        <v>18662628</v>
      </c>
      <c r="G159" s="570"/>
      <c r="H159" s="520">
        <v>18662628</v>
      </c>
      <c r="I159" s="520">
        <v>18662628</v>
      </c>
      <c r="J159" s="503">
        <v>18662628</v>
      </c>
      <c r="K159" s="570"/>
      <c r="L159" s="637">
        <f t="shared" si="45"/>
        <v>1</v>
      </c>
      <c r="M159" s="637">
        <f t="shared" si="45"/>
        <v>1</v>
      </c>
      <c r="N159" s="637">
        <f t="shared" si="45"/>
        <v>1</v>
      </c>
      <c r="O159" s="570"/>
      <c r="P159" s="503">
        <f t="shared" si="50"/>
        <v>0</v>
      </c>
      <c r="Q159" s="503">
        <f t="shared" si="51"/>
        <v>0</v>
      </c>
      <c r="R159" s="503">
        <f t="shared" si="52"/>
        <v>0</v>
      </c>
      <c r="S159" s="503">
        <f t="shared" si="48"/>
        <v>0</v>
      </c>
      <c r="T159" s="514">
        <f t="shared" si="49"/>
        <v>0</v>
      </c>
      <c r="U159" s="634"/>
      <c r="V159" s="690">
        <f t="shared" si="46"/>
        <v>0</v>
      </c>
      <c r="W159" s="494"/>
      <c r="X159" s="494"/>
      <c r="Y159" s="494"/>
    </row>
    <row r="160" spans="1:25" x14ac:dyDescent="0.25">
      <c r="A160" s="527"/>
      <c r="B160" s="533" t="s">
        <v>230</v>
      </c>
      <c r="C160" s="132"/>
      <c r="D160" s="570"/>
      <c r="E160" s="570"/>
      <c r="F160" s="570"/>
      <c r="G160" s="570"/>
      <c r="H160" s="503"/>
      <c r="I160" s="503"/>
      <c r="J160" s="503"/>
      <c r="K160" s="570"/>
      <c r="L160" s="637">
        <f t="shared" si="45"/>
        <v>0</v>
      </c>
      <c r="M160" s="637">
        <f t="shared" si="45"/>
        <v>0</v>
      </c>
      <c r="N160" s="637">
        <f t="shared" si="45"/>
        <v>0</v>
      </c>
      <c r="O160" s="570"/>
      <c r="P160" s="503">
        <f t="shared" si="50"/>
        <v>0</v>
      </c>
      <c r="Q160" s="503">
        <f t="shared" si="51"/>
        <v>0</v>
      </c>
      <c r="R160" s="503">
        <f t="shared" si="52"/>
        <v>0</v>
      </c>
      <c r="S160" s="503">
        <f t="shared" si="48"/>
        <v>0</v>
      </c>
      <c r="T160" s="514">
        <f t="shared" si="49"/>
        <v>0</v>
      </c>
      <c r="U160" s="634"/>
      <c r="V160" s="690">
        <f t="shared" si="46"/>
        <v>0</v>
      </c>
      <c r="W160" s="494"/>
      <c r="X160" s="494"/>
      <c r="Y160" s="494"/>
    </row>
    <row r="161" spans="1:25" x14ac:dyDescent="0.25">
      <c r="A161" s="534" t="s">
        <v>231</v>
      </c>
      <c r="B161" s="530" t="s">
        <v>232</v>
      </c>
      <c r="C161" s="520">
        <f>+'4. Dr Gáspár HSZK'!C100+'5. Csicsergő'!C100+'6. Gólyahír'!C100+'7. Polg.Hiv.'!C100+'8. WAMKK'!C100+'9. Közp. Konyha'!C100</f>
        <v>499153498.25</v>
      </c>
      <c r="D161" s="166">
        <v>504857598</v>
      </c>
      <c r="E161" s="166">
        <v>504857598</v>
      </c>
      <c r="F161" s="570">
        <v>497618769</v>
      </c>
      <c r="G161" s="570"/>
      <c r="H161" s="503">
        <v>253233378</v>
      </c>
      <c r="I161" s="503">
        <v>373794512</v>
      </c>
      <c r="J161" s="503">
        <v>497618769</v>
      </c>
      <c r="K161" s="570"/>
      <c r="L161" s="637">
        <f t="shared" si="45"/>
        <v>0.50159367513371567</v>
      </c>
      <c r="M161" s="637">
        <f t="shared" si="45"/>
        <v>0.74039593239913959</v>
      </c>
      <c r="N161" s="637">
        <f t="shared" si="45"/>
        <v>1</v>
      </c>
      <c r="O161" s="570"/>
      <c r="P161" s="503">
        <f t="shared" si="50"/>
        <v>5704099.75</v>
      </c>
      <c r="Q161" s="503">
        <f t="shared" si="51"/>
        <v>0</v>
      </c>
      <c r="R161" s="503">
        <f t="shared" si="52"/>
        <v>-7238829</v>
      </c>
      <c r="S161" s="503">
        <f t="shared" si="48"/>
        <v>-1534729.25</v>
      </c>
      <c r="T161" s="514">
        <f t="shared" si="49"/>
        <v>-3.0746639167724193E-3</v>
      </c>
      <c r="U161" s="634"/>
      <c r="V161" s="690">
        <f t="shared" si="46"/>
        <v>0</v>
      </c>
      <c r="W161" s="494"/>
      <c r="X161" s="494"/>
      <c r="Y161" s="494"/>
    </row>
    <row r="162" spans="1:25" x14ac:dyDescent="0.25">
      <c r="A162" s="527"/>
      <c r="B162" s="533" t="s">
        <v>233</v>
      </c>
      <c r="C162" s="132"/>
      <c r="D162" s="570"/>
      <c r="E162" s="570"/>
      <c r="F162" s="570"/>
      <c r="G162" s="570"/>
      <c r="H162" s="503"/>
      <c r="I162" s="503"/>
      <c r="J162" s="503"/>
      <c r="K162" s="570"/>
      <c r="L162" s="637">
        <f t="shared" si="45"/>
        <v>0</v>
      </c>
      <c r="M162" s="637">
        <f t="shared" si="45"/>
        <v>0</v>
      </c>
      <c r="N162" s="637">
        <f t="shared" si="45"/>
        <v>0</v>
      </c>
      <c r="O162" s="570"/>
      <c r="P162" s="503">
        <f t="shared" si="50"/>
        <v>0</v>
      </c>
      <c r="Q162" s="503">
        <f t="shared" si="51"/>
        <v>0</v>
      </c>
      <c r="R162" s="503">
        <f t="shared" si="52"/>
        <v>0</v>
      </c>
      <c r="S162" s="503">
        <f t="shared" si="48"/>
        <v>0</v>
      </c>
      <c r="T162" s="514">
        <f t="shared" si="49"/>
        <v>0</v>
      </c>
      <c r="U162" s="634"/>
      <c r="V162" s="690">
        <f t="shared" si="46"/>
        <v>0</v>
      </c>
      <c r="W162" s="494"/>
      <c r="X162" s="494"/>
      <c r="Y162" s="494"/>
    </row>
    <row r="163" spans="1:25" x14ac:dyDescent="0.25">
      <c r="A163" s="527" t="s">
        <v>234</v>
      </c>
      <c r="B163" s="533" t="s">
        <v>235</v>
      </c>
      <c r="C163" s="132"/>
      <c r="D163" s="570"/>
      <c r="E163" s="570"/>
      <c r="F163" s="570"/>
      <c r="G163" s="570"/>
      <c r="H163" s="503"/>
      <c r="I163" s="503"/>
      <c r="J163" s="503"/>
      <c r="K163" s="570"/>
      <c r="L163" s="637">
        <f t="shared" si="45"/>
        <v>0</v>
      </c>
      <c r="M163" s="637">
        <f t="shared" si="45"/>
        <v>0</v>
      </c>
      <c r="N163" s="637">
        <f t="shared" si="45"/>
        <v>0</v>
      </c>
      <c r="O163" s="570"/>
      <c r="P163" s="503">
        <f t="shared" si="50"/>
        <v>0</v>
      </c>
      <c r="Q163" s="503">
        <f t="shared" si="51"/>
        <v>0</v>
      </c>
      <c r="R163" s="503">
        <f t="shared" si="52"/>
        <v>0</v>
      </c>
      <c r="S163" s="503">
        <f t="shared" si="48"/>
        <v>0</v>
      </c>
      <c r="T163" s="514">
        <f t="shared" si="49"/>
        <v>0</v>
      </c>
      <c r="U163" s="634"/>
      <c r="V163" s="690">
        <f t="shared" si="46"/>
        <v>0</v>
      </c>
      <c r="W163" s="494"/>
      <c r="X163" s="494"/>
      <c r="Y163" s="494"/>
    </row>
    <row r="164" spans="1:25" x14ac:dyDescent="0.25">
      <c r="A164" s="527" t="s">
        <v>236</v>
      </c>
      <c r="B164" s="533" t="s">
        <v>237</v>
      </c>
      <c r="C164" s="132"/>
      <c r="D164" s="570"/>
      <c r="E164" s="570"/>
      <c r="F164" s="570"/>
      <c r="G164" s="570"/>
      <c r="H164" s="503"/>
      <c r="I164" s="503"/>
      <c r="J164" s="503"/>
      <c r="K164" s="570"/>
      <c r="L164" s="637">
        <f t="shared" si="45"/>
        <v>0</v>
      </c>
      <c r="M164" s="637">
        <f t="shared" si="45"/>
        <v>0</v>
      </c>
      <c r="N164" s="637">
        <f t="shared" si="45"/>
        <v>0</v>
      </c>
      <c r="O164" s="570"/>
      <c r="P164" s="503">
        <f t="shared" si="50"/>
        <v>0</v>
      </c>
      <c r="Q164" s="503">
        <f t="shared" si="51"/>
        <v>0</v>
      </c>
      <c r="R164" s="503">
        <f t="shared" si="52"/>
        <v>0</v>
      </c>
      <c r="S164" s="503">
        <f t="shared" si="48"/>
        <v>0</v>
      </c>
      <c r="T164" s="514">
        <f t="shared" si="49"/>
        <v>0</v>
      </c>
      <c r="U164" s="634"/>
      <c r="V164" s="690">
        <f t="shared" si="46"/>
        <v>0</v>
      </c>
      <c r="W164" s="494"/>
      <c r="X164" s="494"/>
      <c r="Y164" s="494"/>
    </row>
    <row r="165" spans="1:25" x14ac:dyDescent="0.25">
      <c r="A165" s="527" t="s">
        <v>238</v>
      </c>
      <c r="B165" s="533" t="s">
        <v>239</v>
      </c>
      <c r="C165" s="132"/>
      <c r="D165" s="570"/>
      <c r="E165" s="570"/>
      <c r="F165" s="570"/>
      <c r="G165" s="570"/>
      <c r="H165" s="503"/>
      <c r="I165" s="503"/>
      <c r="J165" s="503"/>
      <c r="K165" s="570"/>
      <c r="L165" s="637">
        <f t="shared" si="45"/>
        <v>0</v>
      </c>
      <c r="M165" s="637">
        <f t="shared" si="45"/>
        <v>0</v>
      </c>
      <c r="N165" s="637">
        <f t="shared" si="45"/>
        <v>0</v>
      </c>
      <c r="O165" s="570"/>
      <c r="P165" s="503">
        <f t="shared" si="50"/>
        <v>0</v>
      </c>
      <c r="Q165" s="503">
        <f t="shared" si="51"/>
        <v>0</v>
      </c>
      <c r="R165" s="503">
        <f t="shared" si="52"/>
        <v>0</v>
      </c>
      <c r="S165" s="503">
        <f t="shared" si="48"/>
        <v>0</v>
      </c>
      <c r="T165" s="514">
        <f t="shared" si="49"/>
        <v>0</v>
      </c>
      <c r="U165" s="634"/>
      <c r="V165" s="690">
        <f t="shared" si="46"/>
        <v>0</v>
      </c>
      <c r="W165" s="494"/>
      <c r="X165" s="494"/>
      <c r="Y165" s="494"/>
    </row>
    <row r="166" spans="1:25" x14ac:dyDescent="0.25">
      <c r="A166" s="527" t="s">
        <v>240</v>
      </c>
      <c r="B166" s="533" t="s">
        <v>241</v>
      </c>
      <c r="C166" s="132"/>
      <c r="D166" s="570"/>
      <c r="E166" s="570"/>
      <c r="F166" s="570"/>
      <c r="G166" s="570"/>
      <c r="H166" s="503"/>
      <c r="I166" s="503"/>
      <c r="J166" s="503"/>
      <c r="K166" s="570"/>
      <c r="L166" s="637">
        <f t="shared" si="45"/>
        <v>0</v>
      </c>
      <c r="M166" s="637">
        <f t="shared" si="45"/>
        <v>0</v>
      </c>
      <c r="N166" s="637">
        <f t="shared" si="45"/>
        <v>0</v>
      </c>
      <c r="O166" s="570"/>
      <c r="P166" s="503">
        <f t="shared" si="50"/>
        <v>0</v>
      </c>
      <c r="Q166" s="503">
        <f t="shared" si="51"/>
        <v>0</v>
      </c>
      <c r="R166" s="503">
        <f t="shared" si="52"/>
        <v>0</v>
      </c>
      <c r="S166" s="503">
        <f t="shared" si="48"/>
        <v>0</v>
      </c>
      <c r="T166" s="514">
        <f t="shared" si="49"/>
        <v>0</v>
      </c>
      <c r="U166" s="634"/>
      <c r="V166" s="690">
        <f t="shared" si="46"/>
        <v>0</v>
      </c>
      <c r="W166" s="494"/>
      <c r="X166" s="494"/>
      <c r="Y166" s="494"/>
    </row>
    <row r="167" spans="1:25" x14ac:dyDescent="0.25">
      <c r="A167" s="527"/>
      <c r="B167" s="527"/>
      <c r="C167" s="132"/>
      <c r="D167" s="570"/>
      <c r="E167" s="570"/>
      <c r="F167" s="570"/>
      <c r="G167" s="570"/>
      <c r="H167" s="503"/>
      <c r="I167" s="503"/>
      <c r="J167" s="503"/>
      <c r="K167" s="570"/>
      <c r="L167" s="637">
        <f t="shared" si="45"/>
        <v>0</v>
      </c>
      <c r="M167" s="637">
        <f t="shared" si="45"/>
        <v>0</v>
      </c>
      <c r="N167" s="637">
        <f t="shared" si="45"/>
        <v>0</v>
      </c>
      <c r="O167" s="570"/>
      <c r="P167" s="503"/>
      <c r="Q167" s="503"/>
      <c r="R167" s="503"/>
      <c r="S167" s="503"/>
      <c r="T167" s="514"/>
      <c r="U167" s="634"/>
      <c r="V167" s="690">
        <f t="shared" si="46"/>
        <v>0</v>
      </c>
      <c r="W167" s="494"/>
      <c r="X167" s="494"/>
      <c r="Y167" s="494"/>
    </row>
    <row r="168" spans="1:25" x14ac:dyDescent="0.25">
      <c r="A168" s="512"/>
      <c r="B168" s="513" t="s">
        <v>105</v>
      </c>
      <c r="C168" s="130">
        <f>C13+C29+C32+C81+C106+C120+C129+C135+C145</f>
        <v>1700938440.25</v>
      </c>
      <c r="D168" s="130">
        <f>D13+D29+D32+D81+D106+D120+D129+D135+D145</f>
        <v>1701880040</v>
      </c>
      <c r="E168" s="130">
        <f>E13+E29+E32+E81+E106+E120+E129+E135+E145</f>
        <v>1751880040</v>
      </c>
      <c r="F168" s="130">
        <f>F13+F29+F32+F81+F106+F120+F129+F135+F145</f>
        <v>1748653511</v>
      </c>
      <c r="G168" s="130"/>
      <c r="H168" s="641">
        <f t="shared" ref="H168" si="53">H13+H29+H32+H81+H106+H120+H129+H135+H145</f>
        <v>671775725</v>
      </c>
      <c r="I168" s="641">
        <f>I13+I29+I32+I81+I106+I120+I129+I135+I145</f>
        <v>918232967</v>
      </c>
      <c r="J168" s="641">
        <f>J13+J29+J32+J81+J106+J120+J129+J135+J145</f>
        <v>1231273498</v>
      </c>
      <c r="K168" s="130"/>
      <c r="L168" s="636">
        <f t="shared" si="45"/>
        <v>0.39472566174523088</v>
      </c>
      <c r="M168" s="636">
        <f t="shared" si="45"/>
        <v>0.52414146290518837</v>
      </c>
      <c r="N168" s="636">
        <f t="shared" si="45"/>
        <v>0.70412662671856208</v>
      </c>
      <c r="O168" s="130"/>
      <c r="P168" s="641">
        <f>IF(D168&gt;0,+D168-C168,0)</f>
        <v>941599.75</v>
      </c>
      <c r="Q168" s="641">
        <f>IF(E168&gt;0,+E168-D168,0)</f>
        <v>50000000</v>
      </c>
      <c r="R168" s="641">
        <f>IF(F168&gt;0,+F168-E168,0)</f>
        <v>-3226529</v>
      </c>
      <c r="S168" s="641">
        <f t="shared" si="48"/>
        <v>47715070.75</v>
      </c>
      <c r="T168" s="514">
        <f>IF(C168=0,0,+S168/C168)</f>
        <v>2.8052203196129159E-2</v>
      </c>
      <c r="U168" s="589"/>
      <c r="V168" s="691">
        <f t="shared" si="46"/>
        <v>0</v>
      </c>
      <c r="W168" s="494"/>
      <c r="X168" s="494"/>
      <c r="Y168" s="494"/>
    </row>
    <row r="169" spans="1:25" x14ac:dyDescent="0.25">
      <c r="A169" s="593"/>
      <c r="B169" s="593"/>
      <c r="C169" s="647"/>
      <c r="D169" s="648"/>
      <c r="E169" s="648"/>
      <c r="F169" s="648"/>
      <c r="G169" s="648"/>
      <c r="H169" s="649"/>
      <c r="I169" s="649"/>
      <c r="J169" s="649"/>
      <c r="K169" s="648"/>
      <c r="L169" s="650"/>
      <c r="M169" s="651"/>
      <c r="N169" s="651"/>
      <c r="O169" s="648"/>
      <c r="P169" s="649"/>
      <c r="Q169" s="649"/>
      <c r="R169" s="649"/>
      <c r="S169" s="649"/>
      <c r="T169" s="539"/>
      <c r="U169" s="648"/>
      <c r="V169" s="494"/>
      <c r="W169" s="494"/>
      <c r="X169" s="494"/>
      <c r="Y169" s="494"/>
    </row>
    <row r="170" spans="1:25" hidden="1" x14ac:dyDescent="0.25">
      <c r="A170" s="593"/>
      <c r="B170" s="593"/>
      <c r="C170" s="647"/>
      <c r="D170" s="652"/>
      <c r="E170" s="653"/>
      <c r="F170" s="648">
        <f>' 2. Önk. Bevételek'!M96-'3. Önk. Kiadások'!F168</f>
        <v>-1748653510.1925874</v>
      </c>
      <c r="G170" s="648"/>
      <c r="H170" s="647"/>
      <c r="I170" s="653"/>
      <c r="J170" s="653"/>
      <c r="K170" s="648"/>
      <c r="L170" s="650"/>
      <c r="M170" s="651"/>
      <c r="N170" s="651"/>
      <c r="O170" s="648"/>
      <c r="P170" s="647"/>
      <c r="Q170" s="647"/>
      <c r="R170" s="647"/>
      <c r="S170" s="647"/>
      <c r="T170" s="539"/>
      <c r="U170" s="648"/>
      <c r="V170" s="494"/>
      <c r="W170" s="494"/>
      <c r="X170" s="494"/>
      <c r="Y170" s="494"/>
    </row>
    <row r="171" spans="1:25" hidden="1" x14ac:dyDescent="0.25">
      <c r="A171" s="593"/>
      <c r="B171" s="593"/>
      <c r="C171" s="647"/>
      <c r="D171" s="652" t="s">
        <v>447</v>
      </c>
      <c r="E171" s="648">
        <f>' 2. Önk. Bevételek'!E96-'3. Önk. Kiadások'!E168</f>
        <v>0</v>
      </c>
      <c r="F171" s="648"/>
      <c r="G171" s="648"/>
      <c r="H171" s="647"/>
      <c r="I171" s="654">
        <f>36792991*0+'4. Dr Gáspár HSZK'!I100+'5. Csicsergő'!I100+'6. Gólyahír'!I100+'7. Polg.Hiv.'!M100+'8. WAMKK'!M100+'9. Közp. Konyha'!M100</f>
        <v>202178381.22640997</v>
      </c>
      <c r="J171" s="653"/>
      <c r="K171" s="648"/>
      <c r="L171" s="650"/>
      <c r="M171" s="651"/>
      <c r="N171" s="651"/>
      <c r="O171" s="648"/>
      <c r="P171" s="647"/>
      <c r="Q171" s="647"/>
      <c r="R171" s="647"/>
      <c r="S171" s="647"/>
      <c r="T171" s="539"/>
      <c r="U171" s="648"/>
      <c r="V171" s="494"/>
      <c r="W171" s="494"/>
      <c r="X171" s="494"/>
      <c r="Y171" s="494"/>
    </row>
    <row r="172" spans="1:25" hidden="1" x14ac:dyDescent="0.25">
      <c r="A172" s="593"/>
      <c r="B172" s="655" t="s">
        <v>409</v>
      </c>
      <c r="C172" s="647"/>
      <c r="D172" s="647"/>
      <c r="E172" s="648"/>
      <c r="F172" s="648"/>
      <c r="G172" s="648"/>
      <c r="H172" s="647"/>
      <c r="I172" s="593"/>
      <c r="J172" s="593"/>
      <c r="K172" s="648"/>
      <c r="L172" s="650"/>
      <c r="M172" s="651"/>
      <c r="N172" s="651"/>
      <c r="O172" s="648"/>
      <c r="P172" s="647"/>
      <c r="Q172" s="647"/>
      <c r="R172" s="647"/>
      <c r="S172" s="647"/>
      <c r="T172" s="549"/>
      <c r="U172" s="648"/>
      <c r="V172" s="494"/>
      <c r="W172" s="494"/>
      <c r="X172" s="494"/>
      <c r="Y172" s="494"/>
    </row>
    <row r="173" spans="1:25" hidden="1" x14ac:dyDescent="0.25">
      <c r="A173" s="593"/>
      <c r="B173" s="593"/>
      <c r="C173" s="647"/>
      <c r="D173" s="648"/>
      <c r="E173" s="648"/>
      <c r="F173" s="648"/>
      <c r="G173" s="648"/>
      <c r="H173" s="647"/>
      <c r="I173" s="653"/>
      <c r="J173" s="653"/>
      <c r="K173" s="648"/>
      <c r="L173" s="650"/>
      <c r="M173" s="651"/>
      <c r="N173" s="554"/>
      <c r="O173" s="648"/>
      <c r="P173" s="647"/>
      <c r="Q173" s="647"/>
      <c r="R173" s="647"/>
      <c r="S173" s="647"/>
      <c r="T173" s="549"/>
      <c r="U173" s="648"/>
      <c r="V173" s="494"/>
      <c r="W173" s="494"/>
      <c r="X173" s="494"/>
      <c r="Y173" s="494"/>
    </row>
    <row r="174" spans="1:25" hidden="1" x14ac:dyDescent="0.25">
      <c r="A174" s="593"/>
      <c r="B174" s="655" t="s">
        <v>410</v>
      </c>
      <c r="C174" s="647"/>
      <c r="D174" s="648"/>
      <c r="E174" s="648"/>
      <c r="F174" s="648"/>
      <c r="G174" s="648"/>
      <c r="H174" s="647"/>
      <c r="I174" s="653"/>
      <c r="J174" s="653"/>
      <c r="K174" s="648"/>
      <c r="L174" s="650"/>
      <c r="M174" s="651"/>
      <c r="N174" s="554"/>
      <c r="O174" s="648"/>
      <c r="P174" s="647"/>
      <c r="Q174" s="647"/>
      <c r="R174" s="647"/>
      <c r="S174" s="647"/>
      <c r="T174" s="549"/>
      <c r="U174" s="648"/>
      <c r="V174" s="494"/>
      <c r="W174" s="494"/>
      <c r="X174" s="494"/>
      <c r="Y174" s="494"/>
    </row>
    <row r="175" spans="1:25" hidden="1" x14ac:dyDescent="0.25">
      <c r="A175" s="593"/>
      <c r="B175" s="593"/>
      <c r="C175" s="647"/>
      <c r="D175" s="652"/>
      <c r="E175" s="648"/>
      <c r="F175" s="648"/>
      <c r="G175" s="648"/>
      <c r="H175" s="647"/>
      <c r="I175" s="653"/>
      <c r="J175" s="653"/>
      <c r="K175" s="648"/>
      <c r="L175" s="650"/>
      <c r="M175" s="651"/>
      <c r="N175" s="554"/>
      <c r="O175" s="648"/>
      <c r="P175" s="647"/>
      <c r="Q175" s="647"/>
      <c r="R175" s="647"/>
      <c r="S175" s="647"/>
      <c r="T175" s="549"/>
      <c r="U175" s="648"/>
      <c r="V175" s="494"/>
      <c r="W175" s="494"/>
      <c r="X175" s="494"/>
      <c r="Y175" s="494"/>
    </row>
    <row r="176" spans="1:25" hidden="1" x14ac:dyDescent="0.25">
      <c r="A176" s="593"/>
      <c r="B176" s="593"/>
      <c r="C176" s="647"/>
      <c r="D176" s="648"/>
      <c r="E176" s="648"/>
      <c r="F176" s="648"/>
      <c r="G176" s="648"/>
      <c r="H176" s="647"/>
      <c r="I176" s="653"/>
      <c r="J176" s="653"/>
      <c r="K176" s="648"/>
      <c r="L176" s="650"/>
      <c r="M176" s="651"/>
      <c r="N176" s="554"/>
      <c r="O176" s="648"/>
      <c r="P176" s="647"/>
      <c r="Q176" s="647"/>
      <c r="R176" s="647"/>
      <c r="S176" s="647"/>
      <c r="T176" s="549"/>
      <c r="U176" s="648"/>
      <c r="V176" s="494"/>
      <c r="W176" s="494"/>
      <c r="X176" s="494"/>
      <c r="Y176" s="494"/>
    </row>
    <row r="177" spans="1:25" hidden="1" x14ac:dyDescent="0.25">
      <c r="A177" s="593"/>
      <c r="B177" s="593"/>
      <c r="C177" s="647"/>
      <c r="D177" s="648"/>
      <c r="E177" s="648"/>
      <c r="F177" s="648"/>
      <c r="G177" s="648"/>
      <c r="H177" s="647"/>
      <c r="I177" s="653"/>
      <c r="J177" s="653"/>
      <c r="K177" s="648"/>
      <c r="L177" s="650"/>
      <c r="M177" s="651"/>
      <c r="N177" s="554"/>
      <c r="O177" s="648"/>
      <c r="P177" s="647"/>
      <c r="Q177" s="647"/>
      <c r="R177" s="647"/>
      <c r="S177" s="647"/>
      <c r="T177" s="549"/>
      <c r="U177" s="648"/>
      <c r="V177" s="494"/>
      <c r="W177" s="494"/>
      <c r="X177" s="494"/>
      <c r="Y177" s="494"/>
    </row>
    <row r="178" spans="1:25" hidden="1" x14ac:dyDescent="0.25">
      <c r="A178" s="656" t="s">
        <v>439</v>
      </c>
      <c r="B178" s="593"/>
      <c r="C178" s="647"/>
      <c r="D178" s="652"/>
      <c r="E178" s="648"/>
      <c r="F178" s="648"/>
      <c r="G178" s="648"/>
      <c r="H178" s="647"/>
      <c r="I178" s="653"/>
      <c r="J178" s="653"/>
      <c r="K178" s="648"/>
      <c r="L178" s="650"/>
      <c r="M178" s="651"/>
      <c r="N178" s="554"/>
      <c r="O178" s="648"/>
      <c r="P178" s="647"/>
      <c r="Q178" s="647"/>
      <c r="R178" s="647"/>
      <c r="S178" s="647"/>
      <c r="T178" s="549"/>
      <c r="U178" s="648"/>
      <c r="V178" s="494"/>
      <c r="W178" s="494"/>
      <c r="X178" s="494"/>
      <c r="Y178" s="494"/>
    </row>
    <row r="179" spans="1:25" hidden="1" x14ac:dyDescent="0.25">
      <c r="A179" s="657" t="s">
        <v>437</v>
      </c>
      <c r="B179" s="655" t="str">
        <f>+'4. Dr Gáspár HSZK'!A1</f>
        <v>Dr. Gáspár István HSZK</v>
      </c>
      <c r="C179" s="647">
        <f>+'4. Dr Gáspár HSZK'!C5</f>
        <v>37247962</v>
      </c>
      <c r="D179" s="647">
        <f>+'4. Dr Gáspár HSZK'!D5</f>
        <v>37247962</v>
      </c>
      <c r="E179" s="647">
        <f>+'4. Dr Gáspár HSZK'!E5</f>
        <v>37247962</v>
      </c>
      <c r="F179" s="647">
        <f>+'4. Dr Gáspár HSZK'!F5</f>
        <v>37247962</v>
      </c>
      <c r="G179" s="647"/>
      <c r="H179" s="647">
        <f>+'4. Dr Gáspár HSZK'!H5</f>
        <v>18513794</v>
      </c>
      <c r="I179" s="647">
        <f>+'4. Dr Gáspár HSZK'!I5</f>
        <v>26639005</v>
      </c>
      <c r="J179" s="647">
        <f>+'4. Dr Gáspár HSZK'!J5</f>
        <v>35898271</v>
      </c>
      <c r="K179" s="647">
        <f>+'4. Dr Gáspár HSZK'!K5</f>
        <v>0</v>
      </c>
      <c r="L179" s="658"/>
      <c r="M179" s="658"/>
      <c r="N179" s="658"/>
      <c r="O179" s="647">
        <f>+'4. Dr Gáspár HSZK'!O5</f>
        <v>0</v>
      </c>
      <c r="P179" s="647">
        <f>+'4. Dr Gáspár HSZK'!P5</f>
        <v>0</v>
      </c>
      <c r="Q179" s="647">
        <f>+'4. Dr Gáspár HSZK'!Q5</f>
        <v>0</v>
      </c>
      <c r="R179" s="647">
        <f>+'4. Dr Gáspár HSZK'!R5</f>
        <v>0</v>
      </c>
      <c r="S179" s="647">
        <f>+'4. Dr Gáspár HSZK'!S5</f>
        <v>0</v>
      </c>
      <c r="T179" s="549"/>
      <c r="U179" s="648"/>
      <c r="V179" s="494"/>
      <c r="W179" s="494"/>
      <c r="X179" s="494"/>
      <c r="Y179" s="494"/>
    </row>
    <row r="180" spans="1:25" hidden="1" x14ac:dyDescent="0.25">
      <c r="A180" s="593"/>
      <c r="B180" s="655" t="str">
        <f>+'5. Csicsergő'!A1</f>
        <v>SÜLYSÁPI CSICSERGŐ ÓVODA</v>
      </c>
      <c r="C180" s="647">
        <f>+'5. Csicsergő'!C5</f>
        <v>196104000</v>
      </c>
      <c r="D180" s="647">
        <f>+'5. Csicsergő'!D5</f>
        <v>196104000</v>
      </c>
      <c r="E180" s="647">
        <f>+'5. Csicsergő'!E5</f>
        <v>196104000</v>
      </c>
      <c r="F180" s="647">
        <f>+'5. Csicsergő'!F5</f>
        <v>191301154</v>
      </c>
      <c r="G180" s="647"/>
      <c r="H180" s="647">
        <f>+'5. Csicsergő'!H5</f>
        <v>91559755</v>
      </c>
      <c r="I180" s="647">
        <f>+'5. Csicsergő'!I5</f>
        <v>138427001</v>
      </c>
      <c r="J180" s="647">
        <f>+'5. Csicsergő'!J5</f>
        <v>189739013</v>
      </c>
      <c r="K180" s="647">
        <f>+'5. Csicsergő'!K5</f>
        <v>0</v>
      </c>
      <c r="L180" s="658"/>
      <c r="M180" s="658"/>
      <c r="N180" s="658"/>
      <c r="O180" s="647">
        <f>+'5. Csicsergő'!O5</f>
        <v>0</v>
      </c>
      <c r="P180" s="647">
        <f>+'5. Csicsergő'!P5</f>
        <v>0</v>
      </c>
      <c r="Q180" s="647">
        <f>+'5. Csicsergő'!Q5</f>
        <v>0</v>
      </c>
      <c r="R180" s="647">
        <f>+'5. Csicsergő'!R5</f>
        <v>-4802846</v>
      </c>
      <c r="S180" s="647">
        <f>+'5. Csicsergő'!S5</f>
        <v>-4802846</v>
      </c>
      <c r="T180" s="549"/>
      <c r="U180" s="648"/>
      <c r="V180" s="494"/>
      <c r="W180" s="494"/>
      <c r="X180" s="494"/>
      <c r="Y180" s="494"/>
    </row>
    <row r="181" spans="1:25" hidden="1" x14ac:dyDescent="0.25">
      <c r="A181" s="593"/>
      <c r="B181" s="593" t="str">
        <f>+'6. Gólyahír'!A1</f>
        <v>GÓLYAHÍR BÖLCSŐDE</v>
      </c>
      <c r="C181" s="647">
        <f>+'6. Gólyahír'!C5</f>
        <v>56999000</v>
      </c>
      <c r="D181" s="647">
        <f>+'6. Gólyahír'!D5</f>
        <v>56999000</v>
      </c>
      <c r="E181" s="647">
        <f>+'6. Gólyahír'!E5</f>
        <v>56999000</v>
      </c>
      <c r="F181" s="647">
        <f>+'6. Gólyahír'!F5</f>
        <v>56999000</v>
      </c>
      <c r="G181" s="647"/>
      <c r="H181" s="647">
        <f>+'6. Gólyahír'!H5</f>
        <v>26017758</v>
      </c>
      <c r="I181" s="647">
        <f>+'6. Gólyahír'!I5</f>
        <v>40359604</v>
      </c>
      <c r="J181" s="647">
        <f>+'6. Gólyahír'!J5</f>
        <v>56687965</v>
      </c>
      <c r="K181" s="647">
        <f>+'6. Gólyahír'!K5</f>
        <v>0</v>
      </c>
      <c r="L181" s="658"/>
      <c r="M181" s="658"/>
      <c r="N181" s="658"/>
      <c r="O181" s="647">
        <f>+'6. Gólyahír'!O5</f>
        <v>0</v>
      </c>
      <c r="P181" s="647">
        <f>+'6. Gólyahír'!P5</f>
        <v>0</v>
      </c>
      <c r="Q181" s="647">
        <f>+'6. Gólyahír'!Q5</f>
        <v>0</v>
      </c>
      <c r="R181" s="647">
        <f>+'6. Gólyahír'!R5</f>
        <v>0</v>
      </c>
      <c r="S181" s="647">
        <f>+'6. Gólyahír'!S5</f>
        <v>0</v>
      </c>
      <c r="T181" s="549"/>
      <c r="U181" s="648"/>
      <c r="V181" s="494"/>
      <c r="W181" s="494"/>
      <c r="X181" s="494"/>
      <c r="Y181" s="494"/>
    </row>
    <row r="182" spans="1:25" hidden="1" x14ac:dyDescent="0.25">
      <c r="A182" s="593"/>
      <c r="B182" s="647" t="str">
        <f>+'7. Polg.Hiv.'!A1</f>
        <v>POLGÁRMESTERI HIVATAL</v>
      </c>
      <c r="C182" s="647">
        <f>+'7. Polg.Hiv.'!C5</f>
        <v>127380900</v>
      </c>
      <c r="D182" s="647">
        <f>+'7. Polg.Hiv.'!D5</f>
        <v>128322500</v>
      </c>
      <c r="E182" s="647">
        <f>+'7. Polg.Hiv.'!E5</f>
        <v>128322500</v>
      </c>
      <c r="F182" s="647">
        <f>+'7. Polg.Hiv.'!F5</f>
        <v>127660702</v>
      </c>
      <c r="G182" s="647"/>
      <c r="H182" s="647">
        <f>+'7. Polg.Hiv.'!H5</f>
        <v>61422889</v>
      </c>
      <c r="I182" s="647">
        <f>+'7. Polg.Hiv.'!I5</f>
        <v>91935433</v>
      </c>
      <c r="J182" s="647">
        <f>+'7. Polg.Hiv.'!J5</f>
        <v>124836820</v>
      </c>
      <c r="K182" s="647">
        <f>+'7. Polg.Hiv.'!K5</f>
        <v>0</v>
      </c>
      <c r="L182" s="658"/>
      <c r="M182" s="658"/>
      <c r="N182" s="658"/>
      <c r="O182" s="647">
        <f>+'7. Polg.Hiv.'!O5</f>
        <v>0</v>
      </c>
      <c r="P182" s="647">
        <f>+'7. Polg.Hiv.'!P5</f>
        <v>941600</v>
      </c>
      <c r="Q182" s="647">
        <f>+'7. Polg.Hiv.'!Q5</f>
        <v>0</v>
      </c>
      <c r="R182" s="647">
        <f>+'7. Polg.Hiv.'!R5</f>
        <v>-661798</v>
      </c>
      <c r="S182" s="647">
        <f>+'7. Polg.Hiv.'!S5</f>
        <v>279802</v>
      </c>
      <c r="T182" s="549"/>
      <c r="U182" s="648"/>
      <c r="V182" s="494"/>
      <c r="W182" s="494"/>
      <c r="X182" s="494"/>
      <c r="Y182" s="494"/>
    </row>
    <row r="183" spans="1:25" hidden="1" x14ac:dyDescent="0.25">
      <c r="A183" s="593"/>
      <c r="B183" s="647" t="str">
        <f>+'8. WAMKK'!A1</f>
        <v>Wass Albert Művelődési Központ és Könyvtár</v>
      </c>
      <c r="C183" s="647">
        <f>+'8. WAMKK'!C5</f>
        <v>33719800</v>
      </c>
      <c r="D183" s="647">
        <f>+'8. WAMKK'!D5</f>
        <v>33719800</v>
      </c>
      <c r="E183" s="647">
        <f>+'8. WAMKK'!E5</f>
        <v>33719800</v>
      </c>
      <c r="F183" s="647">
        <f>+'8. WAMKK'!F5</f>
        <v>29375496</v>
      </c>
      <c r="G183" s="647"/>
      <c r="H183" s="647">
        <f>+'8. WAMKK'!H5</f>
        <v>14405609</v>
      </c>
      <c r="I183" s="647">
        <f>+'8. WAMKK'!I5</f>
        <v>21930957</v>
      </c>
      <c r="J183" s="647">
        <f>+'8. WAMKK'!J5</f>
        <v>28684753</v>
      </c>
      <c r="K183" s="647">
        <f>+'8. WAMKK'!K5</f>
        <v>0</v>
      </c>
      <c r="L183" s="658"/>
      <c r="M183" s="658"/>
      <c r="N183" s="658"/>
      <c r="O183" s="647">
        <f>+'8. WAMKK'!O5</f>
        <v>0</v>
      </c>
      <c r="P183" s="647">
        <f>+'8. WAMKK'!P5</f>
        <v>0</v>
      </c>
      <c r="Q183" s="647">
        <f>+'8. WAMKK'!Q5</f>
        <v>0</v>
      </c>
      <c r="R183" s="647">
        <f>+'8. WAMKK'!R5</f>
        <v>-4344304</v>
      </c>
      <c r="S183" s="647">
        <f>+'8. WAMKK'!S5</f>
        <v>-4344304</v>
      </c>
      <c r="T183" s="549"/>
      <c r="U183" s="648"/>
      <c r="V183" s="494"/>
      <c r="W183" s="494"/>
      <c r="X183" s="494"/>
      <c r="Y183" s="494"/>
    </row>
    <row r="184" spans="1:25" hidden="1" x14ac:dyDescent="0.25">
      <c r="A184" s="593"/>
      <c r="B184" s="647" t="str">
        <f>+'9. Közp. Konyha'!A1</f>
        <v>Központi Konyha</v>
      </c>
      <c r="C184" s="647">
        <f>+'9. Közp. Konyha'!C5</f>
        <v>101873641.25</v>
      </c>
      <c r="D184" s="647">
        <f>+'9. Közp. Konyha'!D5</f>
        <v>106636141</v>
      </c>
      <c r="E184" s="647">
        <f>+'9. Közp. Konyha'!E5</f>
        <v>106636141</v>
      </c>
      <c r="F184" s="647">
        <f>+'9. Közp. Konyha'!F5</f>
        <v>109136141</v>
      </c>
      <c r="G184" s="647"/>
      <c r="H184" s="647">
        <f>+'9. Közp. Konyha'!H5</f>
        <v>56921071</v>
      </c>
      <c r="I184" s="647">
        <f>+'9. Közp. Konyha'!I5</f>
        <v>73340181</v>
      </c>
      <c r="J184" s="647">
        <f>+'9. Közp. Konyha'!J5</f>
        <v>101584271</v>
      </c>
      <c r="K184" s="647">
        <f>+'9. Közp. Konyha'!K5</f>
        <v>0</v>
      </c>
      <c r="L184" s="658"/>
      <c r="M184" s="658"/>
      <c r="N184" s="658"/>
      <c r="O184" s="647">
        <f>+'9. Közp. Konyha'!O5</f>
        <v>0</v>
      </c>
      <c r="P184" s="647">
        <f>+'9. Közp. Konyha'!P5</f>
        <v>4762499.75</v>
      </c>
      <c r="Q184" s="647">
        <f>+'9. Közp. Konyha'!Q5</f>
        <v>0</v>
      </c>
      <c r="R184" s="647">
        <f>+'9. Közp. Konyha'!R5</f>
        <v>2500000</v>
      </c>
      <c r="S184" s="647">
        <f>+'9. Közp. Konyha'!S5</f>
        <v>7262499.75</v>
      </c>
      <c r="T184" s="549"/>
      <c r="U184" s="648"/>
      <c r="V184" s="494"/>
      <c r="W184" s="494"/>
      <c r="X184" s="494"/>
      <c r="Y184" s="494"/>
    </row>
    <row r="185" spans="1:25" hidden="1" x14ac:dyDescent="0.25">
      <c r="A185" s="656" t="s">
        <v>438</v>
      </c>
      <c r="B185" s="647"/>
      <c r="C185" s="647"/>
      <c r="D185" s="648"/>
      <c r="E185" s="648"/>
      <c r="F185" s="648"/>
      <c r="G185" s="648"/>
      <c r="H185" s="647"/>
      <c r="I185" s="647"/>
      <c r="J185" s="647"/>
      <c r="K185" s="647"/>
      <c r="L185" s="658"/>
      <c r="M185" s="658"/>
      <c r="N185" s="658"/>
      <c r="O185" s="647"/>
      <c r="P185" s="647"/>
      <c r="Q185" s="647"/>
      <c r="R185" s="647"/>
      <c r="S185" s="647"/>
      <c r="T185" s="549"/>
      <c r="U185" s="648"/>
      <c r="V185" s="494"/>
      <c r="W185" s="494"/>
      <c r="X185" s="494"/>
      <c r="Y185" s="494"/>
    </row>
    <row r="186" spans="1:25" hidden="1" x14ac:dyDescent="0.25">
      <c r="A186" s="659">
        <v>0</v>
      </c>
      <c r="B186" s="647" t="str">
        <f t="shared" ref="B186:B191" si="54">+B179</f>
        <v>Dr. Gáspár István HSZK</v>
      </c>
      <c r="C186" s="647">
        <v>0</v>
      </c>
      <c r="D186" s="648"/>
      <c r="E186" s="648"/>
      <c r="F186" s="648"/>
      <c r="G186" s="648"/>
      <c r="H186" s="647"/>
      <c r="I186" s="647"/>
      <c r="J186" s="647"/>
      <c r="K186" s="647"/>
      <c r="L186" s="658"/>
      <c r="M186" s="658"/>
      <c r="N186" s="658"/>
      <c r="O186" s="647"/>
      <c r="P186" s="647"/>
      <c r="Q186" s="647"/>
      <c r="R186" s="647"/>
      <c r="S186" s="647"/>
      <c r="T186" s="549"/>
      <c r="U186" s="648"/>
      <c r="V186" s="494"/>
      <c r="W186" s="494"/>
      <c r="X186" s="494"/>
      <c r="Y186" s="494"/>
    </row>
    <row r="187" spans="1:25" hidden="1" x14ac:dyDescent="0.25">
      <c r="A187" s="660">
        <v>1</v>
      </c>
      <c r="B187" s="661" t="str">
        <f t="shared" si="54"/>
        <v>SÜLYSÁPI CSICSERGŐ ÓVODA</v>
      </c>
      <c r="C187" s="647">
        <f>-'5. Csicsergő'!C84*$A187</f>
        <v>-3260000</v>
      </c>
      <c r="D187" s="647">
        <f>-'5. Csicsergő'!D84*$A187</f>
        <v>-3260000</v>
      </c>
      <c r="E187" s="647">
        <f>-'5. Csicsergő'!E84*$A187</f>
        <v>-3260000</v>
      </c>
      <c r="F187" s="647">
        <f>-'5. Csicsergő'!F84*$A187</f>
        <v>-2350000</v>
      </c>
      <c r="G187" s="647">
        <f>-'5. Csicsergő'!G84*$A187</f>
        <v>0</v>
      </c>
      <c r="H187" s="647">
        <f>-'5. Csicsergő'!H84*$A187</f>
        <v>-1006401</v>
      </c>
      <c r="I187" s="647">
        <f>-'5. Csicsergő'!I84*$A187</f>
        <v>-1414881</v>
      </c>
      <c r="J187" s="647">
        <f>-'5. Csicsergő'!J84*$A187</f>
        <v>-1719571</v>
      </c>
      <c r="K187" s="647">
        <f>-'5. Csicsergő'!K84*$A187</f>
        <v>0</v>
      </c>
      <c r="L187" s="658"/>
      <c r="M187" s="658"/>
      <c r="N187" s="658"/>
      <c r="O187" s="647">
        <f>-'5. Csicsergő'!O84*$A187</f>
        <v>0</v>
      </c>
      <c r="P187" s="647">
        <f>-'5. Csicsergő'!P84*$A187</f>
        <v>0</v>
      </c>
      <c r="Q187" s="647">
        <f>-'5. Csicsergő'!Q84*$A187</f>
        <v>0</v>
      </c>
      <c r="R187" s="647">
        <f>-'5. Csicsergő'!R84*$A187</f>
        <v>910000</v>
      </c>
      <c r="S187" s="647">
        <f>-'5. Csicsergő'!S84*$A187</f>
        <v>910000</v>
      </c>
      <c r="T187" s="549"/>
      <c r="U187" s="648"/>
      <c r="V187" s="494"/>
      <c r="W187" s="494"/>
      <c r="X187" s="494"/>
      <c r="Y187" s="494"/>
    </row>
    <row r="188" spans="1:25" hidden="1" x14ac:dyDescent="0.25">
      <c r="A188" s="659">
        <v>0</v>
      </c>
      <c r="B188" s="647" t="str">
        <f t="shared" si="54"/>
        <v>GÓLYAHÍR BÖLCSŐDE</v>
      </c>
      <c r="C188" s="647">
        <v>0</v>
      </c>
      <c r="D188" s="648"/>
      <c r="E188" s="648"/>
      <c r="F188" s="648"/>
      <c r="G188" s="648"/>
      <c r="H188" s="647"/>
      <c r="I188" s="647"/>
      <c r="J188" s="647"/>
      <c r="K188" s="647"/>
      <c r="L188" s="658"/>
      <c r="M188" s="658"/>
      <c r="N188" s="658"/>
      <c r="O188" s="647"/>
      <c r="P188" s="647"/>
      <c r="Q188" s="647"/>
      <c r="R188" s="647"/>
      <c r="S188" s="647"/>
      <c r="T188" s="549"/>
      <c r="U188" s="648"/>
      <c r="V188" s="494"/>
      <c r="W188" s="494"/>
      <c r="X188" s="494"/>
      <c r="Y188" s="494"/>
    </row>
    <row r="189" spans="1:25" hidden="1" x14ac:dyDescent="0.25">
      <c r="A189" s="660">
        <v>1</v>
      </c>
      <c r="B189" s="662" t="str">
        <f t="shared" si="54"/>
        <v>POLGÁRMESTERI HIVATAL</v>
      </c>
      <c r="C189" s="647" t="e">
        <f>-'7. Polg.Hiv.'!#REF!*$A189</f>
        <v>#REF!</v>
      </c>
      <c r="D189" s="647" t="e">
        <f>-'7. Polg.Hiv.'!#REF!*$A189</f>
        <v>#REF!</v>
      </c>
      <c r="E189" s="647" t="e">
        <f>-'7. Polg.Hiv.'!#REF!*$A189</f>
        <v>#REF!</v>
      </c>
      <c r="F189" s="647" t="e">
        <f>-'7. Polg.Hiv.'!#REF!*$A189</f>
        <v>#REF!</v>
      </c>
      <c r="G189" s="647" t="e">
        <f>-'7. Polg.Hiv.'!#REF!*$A189</f>
        <v>#REF!</v>
      </c>
      <c r="H189" s="647" t="e">
        <f>-'7. Polg.Hiv.'!#REF!*$A189</f>
        <v>#REF!</v>
      </c>
      <c r="I189" s="647" t="e">
        <f>-'7. Polg.Hiv.'!#REF!*$A189</f>
        <v>#REF!</v>
      </c>
      <c r="J189" s="647" t="e">
        <f>-'7. Polg.Hiv.'!#REF!*$A189</f>
        <v>#REF!</v>
      </c>
      <c r="K189" s="647" t="e">
        <f>-'7. Polg.Hiv.'!#REF!*$A189</f>
        <v>#REF!</v>
      </c>
      <c r="L189" s="658"/>
      <c r="M189" s="658"/>
      <c r="N189" s="658"/>
      <c r="O189" s="647" t="e">
        <f>-'7. Polg.Hiv.'!#REF!*$A189</f>
        <v>#REF!</v>
      </c>
      <c r="P189" s="647" t="e">
        <f>-'7. Polg.Hiv.'!#REF!*$A189</f>
        <v>#REF!</v>
      </c>
      <c r="Q189" s="647" t="e">
        <f>-'7. Polg.Hiv.'!#REF!*$A189</f>
        <v>#REF!</v>
      </c>
      <c r="R189" s="647" t="e">
        <f>-'7. Polg.Hiv.'!#REF!*$A189</f>
        <v>#REF!</v>
      </c>
      <c r="S189" s="647" t="e">
        <f>-'7. Polg.Hiv.'!#REF!*$A189</f>
        <v>#REF!</v>
      </c>
      <c r="T189" s="549"/>
      <c r="U189" s="648"/>
      <c r="V189" s="494"/>
      <c r="W189" s="494"/>
      <c r="X189" s="494"/>
      <c r="Y189" s="494"/>
    </row>
    <row r="190" spans="1:25" hidden="1" x14ac:dyDescent="0.25">
      <c r="A190" s="659">
        <v>0</v>
      </c>
      <c r="B190" s="647" t="str">
        <f t="shared" si="54"/>
        <v>Wass Albert Művelődési Központ és Könyvtár</v>
      </c>
      <c r="C190" s="647">
        <v>0</v>
      </c>
      <c r="D190" s="648"/>
      <c r="E190" s="648"/>
      <c r="F190" s="648"/>
      <c r="G190" s="648"/>
      <c r="H190" s="647"/>
      <c r="I190" s="647"/>
      <c r="J190" s="647"/>
      <c r="K190" s="647"/>
      <c r="L190" s="658"/>
      <c r="M190" s="658"/>
      <c r="N190" s="658"/>
      <c r="O190" s="647"/>
      <c r="P190" s="647"/>
      <c r="Q190" s="647"/>
      <c r="R190" s="647"/>
      <c r="S190" s="647"/>
      <c r="T190" s="549"/>
      <c r="U190" s="648"/>
      <c r="V190" s="494"/>
      <c r="W190" s="494"/>
      <c r="X190" s="494"/>
      <c r="Y190" s="494"/>
    </row>
    <row r="191" spans="1:25" hidden="1" x14ac:dyDescent="0.25">
      <c r="A191" s="659">
        <v>0</v>
      </c>
      <c r="B191" s="647" t="str">
        <f t="shared" si="54"/>
        <v>Központi Konyha</v>
      </c>
      <c r="C191" s="647">
        <v>0</v>
      </c>
      <c r="D191" s="648"/>
      <c r="E191" s="648"/>
      <c r="F191" s="648"/>
      <c r="G191" s="648"/>
      <c r="H191" s="647"/>
      <c r="I191" s="647"/>
      <c r="J191" s="647"/>
      <c r="K191" s="647"/>
      <c r="L191" s="658"/>
      <c r="M191" s="658"/>
      <c r="N191" s="658"/>
      <c r="O191" s="647"/>
      <c r="P191" s="647"/>
      <c r="Q191" s="647"/>
      <c r="R191" s="647"/>
      <c r="S191" s="647"/>
      <c r="T191" s="549"/>
      <c r="U191" s="648"/>
      <c r="V191" s="494"/>
      <c r="W191" s="494"/>
      <c r="X191" s="494"/>
      <c r="Y191" s="494"/>
    </row>
    <row r="192" spans="1:25" hidden="1" x14ac:dyDescent="0.25">
      <c r="A192" s="647"/>
      <c r="B192" s="647"/>
      <c r="C192" s="647"/>
      <c r="D192" s="648"/>
      <c r="E192" s="648"/>
      <c r="F192" s="648"/>
      <c r="G192" s="648"/>
      <c r="H192" s="647"/>
      <c r="I192" s="647"/>
      <c r="J192" s="647"/>
      <c r="K192" s="647"/>
      <c r="L192" s="658"/>
      <c r="M192" s="658"/>
      <c r="N192" s="658"/>
      <c r="O192" s="647"/>
      <c r="P192" s="647"/>
      <c r="Q192" s="647"/>
      <c r="R192" s="647"/>
      <c r="S192" s="647"/>
      <c r="T192" s="549"/>
      <c r="U192" s="648"/>
      <c r="V192" s="494"/>
      <c r="W192" s="494"/>
      <c r="X192" s="494"/>
      <c r="Y192" s="494"/>
    </row>
    <row r="193" spans="1:25" hidden="1" x14ac:dyDescent="0.25">
      <c r="A193" s="659">
        <v>1</v>
      </c>
      <c r="B193" s="655" t="s">
        <v>434</v>
      </c>
      <c r="C193" s="647"/>
      <c r="D193" s="647" t="e">
        <f>+#REF!*$A193</f>
        <v>#REF!</v>
      </c>
      <c r="E193" s="647" t="e">
        <f>+#REF!*$A193</f>
        <v>#REF!</v>
      </c>
      <c r="F193" s="647" t="e">
        <f>+#REF!*$A193</f>
        <v>#REF!</v>
      </c>
      <c r="G193" s="648"/>
      <c r="H193" s="647"/>
      <c r="I193" s="647"/>
      <c r="J193" s="647"/>
      <c r="K193" s="647"/>
      <c r="L193" s="658"/>
      <c r="M193" s="658"/>
      <c r="N193" s="658"/>
      <c r="O193" s="647"/>
      <c r="P193" s="647"/>
      <c r="Q193" s="647"/>
      <c r="R193" s="647"/>
      <c r="S193" s="647"/>
      <c r="T193" s="549"/>
      <c r="U193" s="648"/>
      <c r="V193" s="494"/>
      <c r="W193" s="494"/>
      <c r="X193" s="494"/>
      <c r="Y193" s="494"/>
    </row>
    <row r="194" spans="1:25" hidden="1" x14ac:dyDescent="0.25">
      <c r="A194" s="659">
        <v>1</v>
      </c>
      <c r="B194" s="655" t="s">
        <v>435</v>
      </c>
      <c r="C194" s="647">
        <f>+C120*$A194</f>
        <v>696367057</v>
      </c>
      <c r="D194" s="647">
        <f>+D120</f>
        <v>646616628</v>
      </c>
      <c r="E194" s="647">
        <f>+E120</f>
        <v>637231873</v>
      </c>
      <c r="F194" s="647">
        <f>+F120</f>
        <v>656988945</v>
      </c>
      <c r="G194" s="647"/>
      <c r="H194" s="647">
        <f>+H120</f>
        <v>132502306</v>
      </c>
      <c r="I194" s="647">
        <f>+I120</f>
        <v>138788269</v>
      </c>
      <c r="J194" s="647">
        <f>+J120</f>
        <v>159500819</v>
      </c>
      <c r="K194" s="647">
        <f>+K120</f>
        <v>0</v>
      </c>
      <c r="L194" s="658"/>
      <c r="M194" s="658"/>
      <c r="N194" s="658"/>
      <c r="O194" s="647">
        <f>+O120</f>
        <v>0</v>
      </c>
      <c r="P194" s="647">
        <f>+P120</f>
        <v>-49750429</v>
      </c>
      <c r="Q194" s="647">
        <f>+Q120</f>
        <v>-9384755</v>
      </c>
      <c r="R194" s="647">
        <f>+R120</f>
        <v>19757072</v>
      </c>
      <c r="S194" s="647">
        <f>+S120</f>
        <v>-39378112</v>
      </c>
      <c r="T194" s="549"/>
      <c r="U194" s="648"/>
      <c r="V194" s="494"/>
      <c r="W194" s="494"/>
      <c r="X194" s="494"/>
      <c r="Y194" s="494"/>
    </row>
    <row r="195" spans="1:25" hidden="1" x14ac:dyDescent="0.25">
      <c r="A195" s="659">
        <v>1</v>
      </c>
      <c r="B195" s="663" t="s">
        <v>436</v>
      </c>
      <c r="C195" s="647">
        <f>+C129*A195</f>
        <v>69100000</v>
      </c>
      <c r="D195" s="647">
        <f>+D129</f>
        <v>50100000</v>
      </c>
      <c r="E195" s="647">
        <f>+E129</f>
        <v>50100000</v>
      </c>
      <c r="F195" s="647">
        <f>+F129</f>
        <v>77092908</v>
      </c>
      <c r="G195" s="647"/>
      <c r="H195" s="647">
        <f>+H129</f>
        <v>4531320</v>
      </c>
      <c r="I195" s="647">
        <f>+I129</f>
        <v>5007570</v>
      </c>
      <c r="J195" s="647">
        <f>+J129</f>
        <v>77092908</v>
      </c>
      <c r="K195" s="647">
        <f>+K129</f>
        <v>0</v>
      </c>
      <c r="L195" s="658"/>
      <c r="M195" s="658"/>
      <c r="N195" s="658"/>
      <c r="O195" s="647">
        <f>+O129</f>
        <v>0</v>
      </c>
      <c r="P195" s="647">
        <f>+P129</f>
        <v>-19000000</v>
      </c>
      <c r="Q195" s="647">
        <f>+Q129</f>
        <v>0</v>
      </c>
      <c r="R195" s="647">
        <f>+R129</f>
        <v>26992908</v>
      </c>
      <c r="S195" s="647">
        <f>+S129</f>
        <v>7992908</v>
      </c>
      <c r="T195" s="549"/>
      <c r="U195" s="648"/>
      <c r="V195" s="494"/>
      <c r="W195" s="494"/>
      <c r="X195" s="494"/>
      <c r="Y195" s="494"/>
    </row>
    <row r="196" spans="1:25" hidden="1" x14ac:dyDescent="0.25">
      <c r="A196" s="647"/>
      <c r="B196" s="647"/>
      <c r="C196" s="647"/>
      <c r="D196" s="648"/>
      <c r="E196" s="648"/>
      <c r="F196" s="648"/>
      <c r="G196" s="648"/>
      <c r="H196" s="647"/>
      <c r="I196" s="647"/>
      <c r="J196" s="647"/>
      <c r="K196" s="647"/>
      <c r="L196" s="658"/>
      <c r="M196" s="658"/>
      <c r="N196" s="658"/>
      <c r="O196" s="647"/>
      <c r="P196" s="647"/>
      <c r="Q196" s="647"/>
      <c r="R196" s="647"/>
      <c r="S196" s="647"/>
      <c r="T196" s="549"/>
      <c r="U196" s="648"/>
      <c r="V196" s="494"/>
      <c r="W196" s="494"/>
      <c r="X196" s="494"/>
      <c r="Y196" s="494"/>
    </row>
    <row r="197" spans="1:25" hidden="1" x14ac:dyDescent="0.25">
      <c r="A197" s="664">
        <v>1</v>
      </c>
      <c r="B197" s="655" t="s">
        <v>433</v>
      </c>
      <c r="C197" s="647">
        <f>+C145</f>
        <v>517816126.25</v>
      </c>
      <c r="D197" s="647">
        <f t="shared" ref="D197:E197" si="55">+D145</f>
        <v>523520226</v>
      </c>
      <c r="E197" s="647">
        <f t="shared" si="55"/>
        <v>523520226</v>
      </c>
      <c r="F197" s="647">
        <f>+F145</f>
        <v>516281397</v>
      </c>
      <c r="G197" s="647"/>
      <c r="H197" s="647">
        <f>+H145</f>
        <v>271896006</v>
      </c>
      <c r="I197" s="647">
        <f>+I145</f>
        <v>392457140</v>
      </c>
      <c r="J197" s="647">
        <f>+J145</f>
        <v>516281397</v>
      </c>
      <c r="K197" s="647"/>
      <c r="L197" s="658"/>
      <c r="M197" s="658"/>
      <c r="N197" s="658"/>
      <c r="O197" s="647"/>
      <c r="P197" s="647">
        <f>+P145</f>
        <v>5704099.75</v>
      </c>
      <c r="Q197" s="647">
        <f>+Q145</f>
        <v>0</v>
      </c>
      <c r="R197" s="647">
        <f>+R145</f>
        <v>-7238829</v>
      </c>
      <c r="S197" s="647">
        <f>+S145</f>
        <v>-1534729.25</v>
      </c>
      <c r="T197" s="549"/>
      <c r="U197" s="648"/>
      <c r="V197" s="494"/>
      <c r="W197" s="494"/>
      <c r="X197" s="494"/>
      <c r="Y197" s="494"/>
    </row>
    <row r="198" spans="1:25" hidden="1" x14ac:dyDescent="0.25">
      <c r="A198" s="593"/>
      <c r="B198" s="665" t="s">
        <v>441</v>
      </c>
      <c r="C198" s="647" t="e">
        <f>SUM(C179:C197)</f>
        <v>#REF!</v>
      </c>
      <c r="D198" s="647" t="e">
        <f>SUM(D179:D197)</f>
        <v>#REF!</v>
      </c>
      <c r="E198" s="647" t="e">
        <f>SUM(E179:E197)</f>
        <v>#REF!</v>
      </c>
      <c r="F198" s="647" t="e">
        <f>SUM(F179:F197)</f>
        <v>#REF!</v>
      </c>
      <c r="G198" s="647"/>
      <c r="H198" s="647" t="e">
        <f>SUM(H179:H197)</f>
        <v>#REF!</v>
      </c>
      <c r="I198" s="647" t="e">
        <f>SUM(I179:I197)</f>
        <v>#REF!</v>
      </c>
      <c r="J198" s="647" t="e">
        <f>SUM(J179:J197)</f>
        <v>#REF!</v>
      </c>
      <c r="K198" s="647"/>
      <c r="L198" s="658"/>
      <c r="M198" s="658"/>
      <c r="N198" s="658"/>
      <c r="O198" s="647"/>
      <c r="P198" s="647" t="e">
        <f>SUM(P179:P197)</f>
        <v>#REF!</v>
      </c>
      <c r="Q198" s="647" t="e">
        <f>SUM(Q179:Q197)</f>
        <v>#REF!</v>
      </c>
      <c r="R198" s="647" t="e">
        <f>SUM(R179:R197)</f>
        <v>#REF!</v>
      </c>
      <c r="S198" s="647" t="e">
        <f>SUM(S179:S197)</f>
        <v>#REF!</v>
      </c>
      <c r="T198" s="549"/>
      <c r="U198" s="648"/>
      <c r="V198" s="494"/>
      <c r="W198" s="494"/>
      <c r="X198" s="494"/>
      <c r="Y198" s="494"/>
    </row>
    <row r="199" spans="1:25" hidden="1" x14ac:dyDescent="0.25">
      <c r="A199" s="593"/>
      <c r="B199" s="593"/>
      <c r="C199" s="647"/>
      <c r="D199" s="648"/>
      <c r="E199" s="648"/>
      <c r="F199" s="648"/>
      <c r="G199" s="648"/>
      <c r="H199" s="647"/>
      <c r="I199" s="653"/>
      <c r="J199" s="653"/>
      <c r="K199" s="653"/>
      <c r="L199" s="658"/>
      <c r="M199" s="658"/>
      <c r="N199" s="658"/>
      <c r="O199" s="653"/>
      <c r="P199" s="653"/>
      <c r="Q199" s="653"/>
      <c r="R199" s="653"/>
      <c r="S199" s="653"/>
      <c r="T199" s="549"/>
      <c r="U199" s="648"/>
      <c r="V199" s="494"/>
      <c r="W199" s="494"/>
      <c r="X199" s="494"/>
      <c r="Y199" s="494"/>
    </row>
    <row r="200" spans="1:25" hidden="1" x14ac:dyDescent="0.25">
      <c r="A200" s="593"/>
      <c r="B200" s="666" t="s">
        <v>442</v>
      </c>
      <c r="C200" s="667" t="e">
        <f>+C198-C9</f>
        <v>#REF!</v>
      </c>
      <c r="D200" s="667" t="e">
        <f>+D198-D9</f>
        <v>#REF!</v>
      </c>
      <c r="E200" s="667" t="e">
        <f>+E198-E9</f>
        <v>#REF!</v>
      </c>
      <c r="F200" s="667" t="e">
        <f>+F198-F9</f>
        <v>#REF!</v>
      </c>
      <c r="G200" s="667"/>
      <c r="H200" s="667" t="e">
        <f>+H198-H9</f>
        <v>#REF!</v>
      </c>
      <c r="I200" s="667" t="e">
        <f>+I198-I9</f>
        <v>#REF!</v>
      </c>
      <c r="J200" s="667" t="e">
        <f>+J198-J9</f>
        <v>#REF!</v>
      </c>
      <c r="K200" s="667"/>
      <c r="L200" s="668"/>
      <c r="M200" s="668"/>
      <c r="N200" s="668"/>
      <c r="O200" s="667"/>
      <c r="P200" s="667" t="e">
        <f>+P198-P9</f>
        <v>#REF!</v>
      </c>
      <c r="Q200" s="667" t="e">
        <f>+Q198-Q9</f>
        <v>#REF!</v>
      </c>
      <c r="R200" s="667" t="e">
        <f>+R198-R9</f>
        <v>#REF!</v>
      </c>
      <c r="S200" s="667" t="e">
        <f>+S198-S9</f>
        <v>#REF!</v>
      </c>
      <c r="T200" s="685"/>
      <c r="U200" s="648"/>
      <c r="V200" s="494"/>
      <c r="W200" s="494"/>
      <c r="X200" s="494"/>
      <c r="Y200" s="494"/>
    </row>
    <row r="201" spans="1:25" ht="3.6" hidden="1" customHeight="1" x14ac:dyDescent="0.25">
      <c r="A201" s="669"/>
      <c r="B201" s="669"/>
      <c r="C201" s="670"/>
      <c r="D201" s="671"/>
      <c r="E201" s="671"/>
      <c r="F201" s="671"/>
      <c r="G201" s="671"/>
      <c r="H201" s="670"/>
      <c r="I201" s="672"/>
      <c r="J201" s="672"/>
      <c r="K201" s="671"/>
      <c r="L201" s="673"/>
      <c r="M201" s="674"/>
      <c r="N201" s="675"/>
      <c r="O201" s="671"/>
      <c r="P201" s="670"/>
      <c r="Q201" s="670"/>
      <c r="R201" s="670"/>
      <c r="S201" s="670"/>
      <c r="T201" s="686"/>
      <c r="U201" s="648"/>
      <c r="V201" s="494"/>
      <c r="W201" s="494"/>
      <c r="X201" s="494"/>
      <c r="Y201" s="494"/>
    </row>
    <row r="202" spans="1:25" hidden="1" x14ac:dyDescent="0.25">
      <c r="A202" s="494"/>
      <c r="B202" s="494"/>
      <c r="C202" s="494"/>
      <c r="D202" s="494"/>
      <c r="E202" s="494"/>
      <c r="F202" s="494"/>
      <c r="G202" s="494"/>
      <c r="H202" s="494"/>
      <c r="I202" s="494"/>
      <c r="J202" s="494"/>
      <c r="K202" s="494"/>
      <c r="L202" s="556"/>
      <c r="M202" s="556"/>
      <c r="N202" s="556"/>
      <c r="O202" s="494"/>
      <c r="P202" s="494"/>
      <c r="Q202" s="494"/>
      <c r="R202" s="494"/>
      <c r="S202" s="494"/>
      <c r="T202" s="543"/>
      <c r="U202" s="494"/>
      <c r="V202" s="494"/>
      <c r="W202" s="494"/>
      <c r="X202" s="494"/>
      <c r="Y202" s="494"/>
    </row>
    <row r="203" spans="1:25" hidden="1" x14ac:dyDescent="0.25">
      <c r="A203" s="655" t="s">
        <v>443</v>
      </c>
      <c r="B203" s="593"/>
      <c r="C203" s="647"/>
      <c r="D203" s="648"/>
      <c r="E203" s="648"/>
      <c r="F203" s="648"/>
      <c r="G203" s="648"/>
      <c r="H203" s="647"/>
      <c r="I203" s="653"/>
      <c r="J203" s="653"/>
      <c r="K203" s="648"/>
      <c r="L203" s="650"/>
      <c r="M203" s="651"/>
      <c r="N203" s="554"/>
      <c r="O203" s="648"/>
      <c r="P203" s="647"/>
      <c r="Q203" s="647"/>
      <c r="R203" s="647"/>
      <c r="S203" s="647"/>
      <c r="T203" s="549"/>
      <c r="U203" s="648"/>
      <c r="V203" s="494"/>
      <c r="W203" s="494"/>
      <c r="X203" s="494"/>
      <c r="Y203" s="494"/>
    </row>
    <row r="204" spans="1:25" hidden="1" x14ac:dyDescent="0.25">
      <c r="A204" s="593"/>
      <c r="B204" s="593"/>
      <c r="C204" s="647"/>
      <c r="D204" s="648"/>
      <c r="E204" s="648"/>
      <c r="F204" s="648"/>
      <c r="G204" s="648"/>
      <c r="H204" s="647"/>
      <c r="I204" s="653"/>
      <c r="J204" s="653"/>
      <c r="K204" s="648"/>
      <c r="L204" s="650"/>
      <c r="M204" s="651"/>
      <c r="N204" s="554"/>
      <c r="O204" s="648"/>
      <c r="P204" s="647"/>
      <c r="Q204" s="647"/>
      <c r="R204" s="647"/>
      <c r="S204" s="647"/>
      <c r="T204" s="549"/>
      <c r="U204" s="648"/>
      <c r="V204" s="494"/>
      <c r="W204" s="494"/>
      <c r="X204" s="494"/>
      <c r="Y204" s="494"/>
    </row>
    <row r="205" spans="1:25" hidden="1" x14ac:dyDescent="0.25">
      <c r="A205" s="593"/>
      <c r="B205" s="655" t="s">
        <v>446</v>
      </c>
      <c r="C205" s="647" t="e">
        <f>SUM(C179:C191)</f>
        <v>#REF!</v>
      </c>
      <c r="D205" s="647" t="e">
        <f>SUM(D179:D191)</f>
        <v>#REF!</v>
      </c>
      <c r="E205" s="647" t="e">
        <f>SUM(E179:E191)</f>
        <v>#REF!</v>
      </c>
      <c r="F205" s="647" t="e">
        <f>SUM(F179:F191)</f>
        <v>#REF!</v>
      </c>
      <c r="G205" s="647"/>
      <c r="H205" s="647" t="e">
        <f>SUM(H179:H191)</f>
        <v>#REF!</v>
      </c>
      <c r="I205" s="647" t="e">
        <f>SUM(I179:I191)</f>
        <v>#REF!</v>
      </c>
      <c r="J205" s="647" t="e">
        <f>SUM(J179:J191)</f>
        <v>#REF!</v>
      </c>
      <c r="K205" s="648"/>
      <c r="L205" s="650"/>
      <c r="M205" s="651"/>
      <c r="N205" s="554"/>
      <c r="O205" s="648"/>
      <c r="P205" s="647" t="e">
        <f t="shared" ref="P205:S205" si="56">SUM(P179:P191)</f>
        <v>#REF!</v>
      </c>
      <c r="Q205" s="647" t="e">
        <f t="shared" si="56"/>
        <v>#REF!</v>
      </c>
      <c r="R205" s="647" t="e">
        <f t="shared" si="56"/>
        <v>#REF!</v>
      </c>
      <c r="S205" s="647" t="e">
        <f t="shared" si="56"/>
        <v>#REF!</v>
      </c>
      <c r="T205" s="549"/>
      <c r="U205" s="648"/>
      <c r="V205" s="494"/>
      <c r="W205" s="494"/>
      <c r="X205" s="494"/>
      <c r="Y205" s="494"/>
    </row>
    <row r="206" spans="1:25" hidden="1" x14ac:dyDescent="0.25">
      <c r="A206" s="593"/>
      <c r="B206" s="676" t="s">
        <v>444</v>
      </c>
      <c r="C206" s="677" t="e">
        <f>+C205-C197</f>
        <v>#REF!</v>
      </c>
      <c r="D206" s="677" t="e">
        <f>+D205-D197</f>
        <v>#REF!</v>
      </c>
      <c r="E206" s="677" t="e">
        <f>+E205-E197</f>
        <v>#REF!</v>
      </c>
      <c r="F206" s="677" t="e">
        <f>+F205-F197</f>
        <v>#REF!</v>
      </c>
      <c r="G206" s="677"/>
      <c r="H206" s="677" t="e">
        <f>+H205-H197</f>
        <v>#REF!</v>
      </c>
      <c r="I206" s="677" t="e">
        <f>+I205-I197</f>
        <v>#REF!</v>
      </c>
      <c r="J206" s="677" t="e">
        <f>+J205-J197</f>
        <v>#REF!</v>
      </c>
      <c r="K206" s="678"/>
      <c r="L206" s="679"/>
      <c r="M206" s="680"/>
      <c r="N206" s="680"/>
      <c r="O206" s="678"/>
      <c r="P206" s="677" t="e">
        <f t="shared" ref="P206:S206" si="57">+P205-P197</f>
        <v>#REF!</v>
      </c>
      <c r="Q206" s="677" t="e">
        <f t="shared" si="57"/>
        <v>#REF!</v>
      </c>
      <c r="R206" s="677" t="e">
        <f t="shared" si="57"/>
        <v>#REF!</v>
      </c>
      <c r="S206" s="677" t="e">
        <f t="shared" si="57"/>
        <v>#REF!</v>
      </c>
      <c r="T206" s="549"/>
      <c r="U206" s="648"/>
      <c r="V206" s="494"/>
      <c r="W206" s="494"/>
      <c r="X206" s="494"/>
      <c r="Y206" s="494"/>
    </row>
    <row r="207" spans="1:25" hidden="1" x14ac:dyDescent="0.25">
      <c r="A207" s="593"/>
      <c r="B207" s="593"/>
      <c r="C207" s="647"/>
      <c r="D207" s="648"/>
      <c r="E207" s="648"/>
      <c r="F207" s="648"/>
      <c r="G207" s="648"/>
      <c r="H207" s="647"/>
      <c r="I207" s="653"/>
      <c r="J207" s="653"/>
      <c r="K207" s="648"/>
      <c r="L207" s="650"/>
      <c r="M207" s="651"/>
      <c r="N207" s="554"/>
      <c r="O207" s="648"/>
      <c r="P207" s="653"/>
      <c r="Q207" s="653"/>
      <c r="R207" s="653"/>
      <c r="S207" s="653"/>
      <c r="T207" s="549"/>
      <c r="U207" s="648"/>
      <c r="V207" s="494"/>
      <c r="W207" s="494"/>
      <c r="X207" s="494"/>
      <c r="Y207" s="494"/>
    </row>
    <row r="208" spans="1:25" hidden="1" x14ac:dyDescent="0.25">
      <c r="A208" s="593"/>
      <c r="B208" s="655" t="s">
        <v>440</v>
      </c>
      <c r="C208" s="647" t="e">
        <f>+C205-C182-C189</f>
        <v>#REF!</v>
      </c>
      <c r="D208" s="647" t="e">
        <f>+D205-D182-D189</f>
        <v>#REF!</v>
      </c>
      <c r="E208" s="647" t="e">
        <f>+E205-E182-E189</f>
        <v>#REF!</v>
      </c>
      <c r="F208" s="647" t="e">
        <f>+F205-F182-F189</f>
        <v>#REF!</v>
      </c>
      <c r="G208" s="647"/>
      <c r="H208" s="647" t="e">
        <f>+H205-H182-H189</f>
        <v>#REF!</v>
      </c>
      <c r="I208" s="647" t="e">
        <f>+I205-I182-I189</f>
        <v>#REF!</v>
      </c>
      <c r="J208" s="647" t="e">
        <f>+J205-J182-J189</f>
        <v>#REF!</v>
      </c>
      <c r="K208" s="648"/>
      <c r="L208" s="650"/>
      <c r="M208" s="651"/>
      <c r="N208" s="554"/>
      <c r="O208" s="648"/>
      <c r="P208" s="647" t="e">
        <f t="shared" ref="P208:S208" si="58">+P205-P182-P189</f>
        <v>#REF!</v>
      </c>
      <c r="Q208" s="647" t="e">
        <f t="shared" si="58"/>
        <v>#REF!</v>
      </c>
      <c r="R208" s="647" t="e">
        <f t="shared" si="58"/>
        <v>#REF!</v>
      </c>
      <c r="S208" s="647" t="e">
        <f t="shared" si="58"/>
        <v>#REF!</v>
      </c>
      <c r="T208" s="549"/>
      <c r="U208" s="648"/>
      <c r="V208" s="494"/>
      <c r="W208" s="494"/>
      <c r="X208" s="494"/>
      <c r="Y208" s="494"/>
    </row>
    <row r="209" spans="1:25" hidden="1" x14ac:dyDescent="0.25">
      <c r="A209" s="593"/>
      <c r="B209" s="676" t="s">
        <v>445</v>
      </c>
      <c r="C209" s="677" t="e">
        <f>+C208-C197</f>
        <v>#REF!</v>
      </c>
      <c r="D209" s="677" t="e">
        <f>+D208-D197</f>
        <v>#REF!</v>
      </c>
      <c r="E209" s="677" t="e">
        <f>+E208-E197</f>
        <v>#REF!</v>
      </c>
      <c r="F209" s="677" t="e">
        <f>+F208-F197</f>
        <v>#REF!</v>
      </c>
      <c r="G209" s="677"/>
      <c r="H209" s="677" t="e">
        <f>+H208-H197</f>
        <v>#REF!</v>
      </c>
      <c r="I209" s="677" t="e">
        <f>+I208-I197</f>
        <v>#REF!</v>
      </c>
      <c r="J209" s="677" t="e">
        <f>+J208-J197</f>
        <v>#REF!</v>
      </c>
      <c r="K209" s="678"/>
      <c r="L209" s="679"/>
      <c r="M209" s="680"/>
      <c r="N209" s="680"/>
      <c r="O209" s="678"/>
      <c r="P209" s="677" t="e">
        <f t="shared" ref="P209:S209" si="59">+P208-P197</f>
        <v>#REF!</v>
      </c>
      <c r="Q209" s="677" t="e">
        <f t="shared" si="59"/>
        <v>#REF!</v>
      </c>
      <c r="R209" s="677" t="e">
        <f t="shared" si="59"/>
        <v>#REF!</v>
      </c>
      <c r="S209" s="677" t="e">
        <f t="shared" si="59"/>
        <v>#REF!</v>
      </c>
      <c r="T209" s="549"/>
      <c r="U209" s="648"/>
      <c r="V209" s="494"/>
      <c r="W209" s="494"/>
      <c r="X209" s="494"/>
      <c r="Y209" s="494"/>
    </row>
    <row r="210" spans="1:25" hidden="1" x14ac:dyDescent="0.25">
      <c r="A210" s="593"/>
      <c r="B210" s="593"/>
      <c r="C210" s="647"/>
      <c r="D210" s="648"/>
      <c r="E210" s="648"/>
      <c r="F210" s="648"/>
      <c r="G210" s="648"/>
      <c r="H210" s="647"/>
      <c r="I210" s="653"/>
      <c r="J210" s="653"/>
      <c r="K210" s="648"/>
      <c r="L210" s="650"/>
      <c r="M210" s="651"/>
      <c r="N210" s="554"/>
      <c r="O210" s="648"/>
      <c r="P210" s="647"/>
      <c r="Q210" s="647"/>
      <c r="R210" s="647"/>
      <c r="S210" s="647"/>
      <c r="T210" s="549"/>
      <c r="U210" s="648"/>
      <c r="V210" s="494"/>
      <c r="W210" s="494"/>
      <c r="X210" s="494"/>
      <c r="Y210" s="494"/>
    </row>
    <row r="211" spans="1:25" hidden="1" x14ac:dyDescent="0.25">
      <c r="A211" s="593"/>
      <c r="B211" s="593"/>
      <c r="C211" s="647"/>
      <c r="D211" s="648"/>
      <c r="E211" s="648"/>
      <c r="F211" s="648"/>
      <c r="G211" s="648"/>
      <c r="H211" s="647"/>
      <c r="I211" s="653"/>
      <c r="J211" s="653"/>
      <c r="K211" s="648"/>
      <c r="L211" s="650"/>
      <c r="M211" s="651"/>
      <c r="N211" s="554"/>
      <c r="O211" s="648"/>
      <c r="P211" s="647"/>
      <c r="Q211" s="647"/>
      <c r="R211" s="647"/>
      <c r="S211" s="647"/>
      <c r="T211" s="549"/>
      <c r="U211" s="648"/>
      <c r="V211" s="494"/>
      <c r="W211" s="494"/>
      <c r="X211" s="494"/>
      <c r="Y211" s="494"/>
    </row>
    <row r="212" spans="1:25" hidden="1" x14ac:dyDescent="0.25">
      <c r="A212" s="655" t="s">
        <v>0</v>
      </c>
      <c r="B212" s="593"/>
      <c r="C212" s="647">
        <f>+C13</f>
        <v>82119000</v>
      </c>
      <c r="D212" s="648"/>
      <c r="E212" s="648"/>
      <c r="F212" s="648"/>
      <c r="G212" s="648"/>
      <c r="H212" s="647"/>
      <c r="I212" s="653"/>
      <c r="J212" s="653"/>
      <c r="K212" s="648"/>
      <c r="L212" s="650"/>
      <c r="M212" s="651"/>
      <c r="N212" s="554"/>
      <c r="O212" s="648"/>
      <c r="P212" s="647"/>
      <c r="Q212" s="647"/>
      <c r="R212" s="647"/>
      <c r="S212" s="647"/>
      <c r="T212" s="549"/>
      <c r="U212" s="648"/>
      <c r="V212" s="494"/>
      <c r="W212" s="494"/>
      <c r="X212" s="494"/>
      <c r="Y212" s="494"/>
    </row>
    <row r="213" spans="1:25" hidden="1" x14ac:dyDescent="0.25">
      <c r="A213" s="527"/>
      <c r="B213" s="655" t="str">
        <f>+'4. Dr Gáspár HSZK'!A1</f>
        <v>Dr. Gáspár István HSZK</v>
      </c>
      <c r="C213" s="647">
        <f>+'4. Dr Gáspár HSZK'!C13</f>
        <v>21961962</v>
      </c>
      <c r="D213" s="647">
        <f>+'4. Dr Gáspár HSZK'!D13</f>
        <v>21961962</v>
      </c>
      <c r="E213" s="647">
        <f>+'4. Dr Gáspár HSZK'!E13</f>
        <v>21961962</v>
      </c>
      <c r="F213" s="647">
        <f>+'4. Dr Gáspár HSZK'!F13</f>
        <v>22536962</v>
      </c>
      <c r="G213" s="647"/>
      <c r="H213" s="647">
        <f>+'4. Dr Gáspár HSZK'!H13</f>
        <v>10918777</v>
      </c>
      <c r="I213" s="647">
        <f>+'4. Dr Gáspár HSZK'!I13</f>
        <v>16567111</v>
      </c>
      <c r="J213" s="647">
        <f>+'4. Dr Gáspár HSZK'!J13</f>
        <v>22533469</v>
      </c>
      <c r="K213" s="647"/>
      <c r="L213" s="658"/>
      <c r="M213" s="658"/>
      <c r="N213" s="658"/>
      <c r="O213" s="647"/>
      <c r="P213" s="647">
        <f>+'4. Dr Gáspár HSZK'!P13</f>
        <v>0</v>
      </c>
      <c r="Q213" s="647">
        <f>+'4. Dr Gáspár HSZK'!Q13</f>
        <v>0</v>
      </c>
      <c r="R213" s="647">
        <f>+'4. Dr Gáspár HSZK'!R13</f>
        <v>575000</v>
      </c>
      <c r="S213" s="647">
        <f>+'4. Dr Gáspár HSZK'!S13</f>
        <v>575000</v>
      </c>
      <c r="T213" s="549"/>
      <c r="U213" s="648"/>
      <c r="V213" s="494"/>
      <c r="W213" s="494"/>
      <c r="X213" s="494"/>
      <c r="Y213" s="494"/>
    </row>
    <row r="214" spans="1:25" hidden="1" x14ac:dyDescent="0.25">
      <c r="A214" s="593"/>
      <c r="B214" s="655" t="str">
        <f>+'5. Csicsergő'!A1</f>
        <v>SÜLYSÁPI CSICSERGŐ ÓVODA</v>
      </c>
      <c r="C214" s="647">
        <f>+'5. Csicsergő'!C13</f>
        <v>148459000</v>
      </c>
      <c r="D214" s="647">
        <f>+'5. Csicsergő'!D13</f>
        <v>148459000</v>
      </c>
      <c r="E214" s="647">
        <f>+'5. Csicsergő'!E13</f>
        <v>148459000</v>
      </c>
      <c r="F214" s="647">
        <f>+'5. Csicsergő'!F13</f>
        <v>145306971</v>
      </c>
      <c r="G214" s="647"/>
      <c r="H214" s="647">
        <f>+'5. Csicsergő'!H13</f>
        <v>68859120</v>
      </c>
      <c r="I214" s="647">
        <f>+'5. Csicsergő'!I13</f>
        <v>105554261</v>
      </c>
      <c r="J214" s="647">
        <f>+'5. Csicsergő'!J13</f>
        <v>145306971</v>
      </c>
      <c r="K214" s="647"/>
      <c r="L214" s="658"/>
      <c r="M214" s="658"/>
      <c r="N214" s="658"/>
      <c r="O214" s="647"/>
      <c r="P214" s="647">
        <f>+'5. Csicsergő'!P13</f>
        <v>0</v>
      </c>
      <c r="Q214" s="647">
        <f>+'5. Csicsergő'!Q13</f>
        <v>0</v>
      </c>
      <c r="R214" s="647">
        <f>+'5. Csicsergő'!R13</f>
        <v>-3152029</v>
      </c>
      <c r="S214" s="647">
        <f>+'5. Csicsergő'!S13</f>
        <v>-3152029</v>
      </c>
      <c r="T214" s="549"/>
      <c r="U214" s="648"/>
      <c r="V214" s="494"/>
      <c r="W214" s="494"/>
      <c r="X214" s="494"/>
      <c r="Y214" s="494"/>
    </row>
    <row r="215" spans="1:25" hidden="1" x14ac:dyDescent="0.25">
      <c r="A215" s="593"/>
      <c r="B215" s="593" t="str">
        <f>+'6. Gólyahír'!A1</f>
        <v>GÓLYAHÍR BÖLCSŐDE</v>
      </c>
      <c r="C215" s="647">
        <f>+'6. Gólyahír'!C13</f>
        <v>38374000</v>
      </c>
      <c r="D215" s="647">
        <f>+'6. Gólyahír'!D13</f>
        <v>38374000</v>
      </c>
      <c r="E215" s="647">
        <f>+'6. Gólyahír'!E13</f>
        <v>38374000</v>
      </c>
      <c r="F215" s="647">
        <f>+'6. Gólyahír'!F13</f>
        <v>39119000</v>
      </c>
      <c r="G215" s="647"/>
      <c r="H215" s="647">
        <f>+'6. Gólyahír'!H13</f>
        <v>18295020</v>
      </c>
      <c r="I215" s="647">
        <f>+'6. Gólyahír'!I13</f>
        <v>28249333</v>
      </c>
      <c r="J215" s="647">
        <f>+'6. Gólyahír'!J13</f>
        <v>39003930</v>
      </c>
      <c r="K215" s="647"/>
      <c r="L215" s="658"/>
      <c r="M215" s="658"/>
      <c r="N215" s="658"/>
      <c r="O215" s="647"/>
      <c r="P215" s="647">
        <f>+'6. Gólyahír'!P13</f>
        <v>0</v>
      </c>
      <c r="Q215" s="647">
        <f>+'6. Gólyahír'!Q13</f>
        <v>0</v>
      </c>
      <c r="R215" s="647">
        <f>+'6. Gólyahír'!R13</f>
        <v>745000</v>
      </c>
      <c r="S215" s="647">
        <f>+'6. Gólyahír'!S13</f>
        <v>745000</v>
      </c>
      <c r="T215" s="549"/>
      <c r="U215" s="648"/>
      <c r="V215" s="494"/>
      <c r="W215" s="494"/>
      <c r="X215" s="494"/>
      <c r="Y215" s="494"/>
    </row>
    <row r="216" spans="1:25" hidden="1" x14ac:dyDescent="0.25">
      <c r="A216" s="593"/>
      <c r="B216" s="647" t="str">
        <f>+'7. Polg.Hiv.'!A1</f>
        <v>POLGÁRMESTERI HIVATAL</v>
      </c>
      <c r="C216" s="647">
        <f>+'7. Polg.Hiv.'!C13</f>
        <v>96264900</v>
      </c>
      <c r="D216" s="647">
        <f>+'7. Polg.Hiv.'!D13</f>
        <v>97206500</v>
      </c>
      <c r="E216" s="647">
        <f>+'7. Polg.Hiv.'!E13</f>
        <v>97206500</v>
      </c>
      <c r="F216" s="647">
        <f>+'7. Polg.Hiv.'!F13</f>
        <v>95856500</v>
      </c>
      <c r="G216" s="647"/>
      <c r="H216" s="647">
        <f>+'7. Polg.Hiv.'!H13</f>
        <v>45938363</v>
      </c>
      <c r="I216" s="647">
        <f>+'7. Polg.Hiv.'!I13</f>
        <v>69087844</v>
      </c>
      <c r="J216" s="647">
        <f>+'7. Polg.Hiv.'!J13</f>
        <v>94926606</v>
      </c>
      <c r="K216" s="647"/>
      <c r="L216" s="658"/>
      <c r="M216" s="658"/>
      <c r="N216" s="658"/>
      <c r="O216" s="647"/>
      <c r="P216" s="647">
        <f>+'7. Polg.Hiv.'!P13</f>
        <v>941600</v>
      </c>
      <c r="Q216" s="647">
        <f>+'7. Polg.Hiv.'!Q13</f>
        <v>0</v>
      </c>
      <c r="R216" s="647">
        <f>+'7. Polg.Hiv.'!R13</f>
        <v>-1350000</v>
      </c>
      <c r="S216" s="647">
        <f>+'7. Polg.Hiv.'!S13</f>
        <v>-408400</v>
      </c>
      <c r="T216" s="549"/>
      <c r="U216" s="648"/>
      <c r="V216" s="494"/>
      <c r="W216" s="494"/>
      <c r="X216" s="494"/>
      <c r="Y216" s="494"/>
    </row>
    <row r="217" spans="1:25" hidden="1" x14ac:dyDescent="0.25">
      <c r="A217" s="593"/>
      <c r="B217" s="647" t="str">
        <f>+'8. WAMKK'!A1</f>
        <v>Wass Albert Művelődési Központ és Könyvtár</v>
      </c>
      <c r="C217" s="647">
        <f>+'8. WAMKK'!C13</f>
        <v>15154800</v>
      </c>
      <c r="D217" s="647">
        <f>+'8. WAMKK'!D13</f>
        <v>15154800</v>
      </c>
      <c r="E217" s="647">
        <f>+'8. WAMKK'!E13</f>
        <v>15341000</v>
      </c>
      <c r="F217" s="647">
        <f>+'8. WAMKK'!F13</f>
        <v>15302921</v>
      </c>
      <c r="G217" s="647"/>
      <c r="H217" s="647">
        <f>+'8. WAMKK'!H13</f>
        <v>7355054</v>
      </c>
      <c r="I217" s="647">
        <f>+'8. WAMKK'!I13</f>
        <v>11516800</v>
      </c>
      <c r="J217" s="647">
        <f>+'8. WAMKK'!J13</f>
        <v>14941528</v>
      </c>
      <c r="K217" s="647"/>
      <c r="L217" s="658"/>
      <c r="M217" s="658"/>
      <c r="N217" s="658"/>
      <c r="O217" s="647"/>
      <c r="P217" s="647">
        <f>+'8. WAMKK'!P13</f>
        <v>0</v>
      </c>
      <c r="Q217" s="647">
        <f>+'8. WAMKK'!Q13</f>
        <v>186200</v>
      </c>
      <c r="R217" s="647">
        <f>+'8. WAMKK'!R13</f>
        <v>-38079</v>
      </c>
      <c r="S217" s="647">
        <f>+'8. WAMKK'!S13</f>
        <v>148121</v>
      </c>
      <c r="T217" s="549"/>
      <c r="U217" s="648"/>
      <c r="V217" s="494"/>
      <c r="W217" s="494"/>
      <c r="X217" s="494"/>
      <c r="Y217" s="494"/>
    </row>
    <row r="218" spans="1:25" hidden="1" x14ac:dyDescent="0.25">
      <c r="A218" s="593"/>
      <c r="B218" s="647" t="str">
        <f>+'9. Közp. Konyha'!A1</f>
        <v>Központi Konyha</v>
      </c>
      <c r="C218" s="647">
        <f>+'9. Közp. Konyha'!C13</f>
        <v>28479750</v>
      </c>
      <c r="D218" s="647">
        <f>+'9. Közp. Konyha'!D13</f>
        <v>28479750</v>
      </c>
      <c r="E218" s="647">
        <f>+'9. Közp. Konyha'!E13</f>
        <v>28479750</v>
      </c>
      <c r="F218" s="647">
        <f>+'9. Közp. Konyha'!F13</f>
        <v>28268044</v>
      </c>
      <c r="G218" s="647"/>
      <c r="H218" s="647">
        <f>+'9. Közp. Konyha'!H13</f>
        <v>12457606</v>
      </c>
      <c r="I218" s="647">
        <f>+'9. Közp. Konyha'!I13</f>
        <v>18355959</v>
      </c>
      <c r="J218" s="647">
        <f>+'9. Közp. Konyha'!J13</f>
        <v>25382833</v>
      </c>
      <c r="K218" s="647"/>
      <c r="L218" s="658"/>
      <c r="M218" s="658"/>
      <c r="N218" s="658"/>
      <c r="O218" s="647"/>
      <c r="P218" s="647">
        <f>+'9. Közp. Konyha'!P13</f>
        <v>0</v>
      </c>
      <c r="Q218" s="647">
        <f>+'9. Közp. Konyha'!Q13</f>
        <v>0</v>
      </c>
      <c r="R218" s="647">
        <f>+'9. Közp. Konyha'!R13</f>
        <v>-211706</v>
      </c>
      <c r="S218" s="647">
        <f>+'9. Közp. Konyha'!S13</f>
        <v>-211706</v>
      </c>
      <c r="T218" s="549"/>
      <c r="U218" s="648"/>
      <c r="V218" s="494"/>
      <c r="W218" s="494"/>
      <c r="X218" s="494"/>
      <c r="Y218" s="494"/>
    </row>
    <row r="219" spans="1:25" hidden="1" x14ac:dyDescent="0.25">
      <c r="A219" s="593"/>
      <c r="B219" s="681" t="s">
        <v>449</v>
      </c>
      <c r="C219" s="682">
        <f>SUM(C213:C218)</f>
        <v>348694412</v>
      </c>
      <c r="D219" s="682">
        <f>SUM(D213:D218)</f>
        <v>349636012</v>
      </c>
      <c r="E219" s="682">
        <f>SUM(E213:E218)</f>
        <v>349822212</v>
      </c>
      <c r="F219" s="682">
        <f>SUM(F213:F218)</f>
        <v>346390398</v>
      </c>
      <c r="G219" s="682"/>
      <c r="H219" s="682">
        <f>SUM(H213:H218)</f>
        <v>163823940</v>
      </c>
      <c r="I219" s="682">
        <f>SUM(I213:I218)</f>
        <v>249331308</v>
      </c>
      <c r="J219" s="682">
        <f>SUM(J213:J218)</f>
        <v>342095337</v>
      </c>
      <c r="K219" s="682"/>
      <c r="L219" s="683"/>
      <c r="M219" s="683"/>
      <c r="N219" s="683"/>
      <c r="O219" s="682"/>
      <c r="P219" s="682">
        <f>SUM(P213:P218)</f>
        <v>941600</v>
      </c>
      <c r="Q219" s="682">
        <f>SUM(Q213:Q218)</f>
        <v>186200</v>
      </c>
      <c r="R219" s="682">
        <f>SUM(R213:R218)</f>
        <v>-3431814</v>
      </c>
      <c r="S219" s="684">
        <f>SUM(S213:S218)</f>
        <v>-2304014</v>
      </c>
      <c r="T219" s="549"/>
      <c r="U219" s="648"/>
      <c r="V219" s="494"/>
      <c r="W219" s="494"/>
      <c r="X219" s="494"/>
      <c r="Y219" s="494"/>
    </row>
    <row r="220" spans="1:25" hidden="1" x14ac:dyDescent="0.25">
      <c r="A220" s="593"/>
      <c r="B220" s="593"/>
      <c r="C220" s="647"/>
      <c r="D220" s="648"/>
      <c r="E220" s="648"/>
      <c r="F220" s="648"/>
      <c r="G220" s="648"/>
      <c r="H220" s="647"/>
      <c r="I220" s="653"/>
      <c r="J220" s="653"/>
      <c r="K220" s="648"/>
      <c r="L220" s="650"/>
      <c r="M220" s="651"/>
      <c r="N220" s="554"/>
      <c r="O220" s="648"/>
      <c r="P220" s="647"/>
      <c r="Q220" s="647"/>
      <c r="R220" s="647"/>
      <c r="S220" s="647"/>
      <c r="T220" s="549"/>
      <c r="U220" s="648"/>
      <c r="V220" s="494"/>
      <c r="W220" s="494"/>
      <c r="X220" s="494"/>
      <c r="Y220" s="494"/>
    </row>
    <row r="221" spans="1:25" hidden="1" x14ac:dyDescent="0.25">
      <c r="A221" s="655" t="s">
        <v>27</v>
      </c>
      <c r="B221" s="655" t="str">
        <f>+B213</f>
        <v>Dr. Gáspár István HSZK</v>
      </c>
      <c r="C221" s="647">
        <f>+'4. Dr Gáspár HSZK'!C29</f>
        <v>4340000</v>
      </c>
      <c r="D221" s="647">
        <f>+'4. Dr Gáspár HSZK'!D29</f>
        <v>4340000</v>
      </c>
      <c r="E221" s="647">
        <f>+'4. Dr Gáspár HSZK'!E29</f>
        <v>4340000</v>
      </c>
      <c r="F221" s="647">
        <f>+'4. Dr Gáspár HSZK'!F29</f>
        <v>4620000</v>
      </c>
      <c r="G221" s="647"/>
      <c r="H221" s="647">
        <f>+'4. Dr Gáspár HSZK'!H29</f>
        <v>2416631</v>
      </c>
      <c r="I221" s="647">
        <f>+'4. Dr Gáspár HSZK'!I29</f>
        <v>3566100</v>
      </c>
      <c r="J221" s="647">
        <f>+'4. Dr Gáspár HSZK'!J29</f>
        <v>4616322</v>
      </c>
      <c r="K221" s="647"/>
      <c r="L221" s="658"/>
      <c r="M221" s="658"/>
      <c r="N221" s="658"/>
      <c r="O221" s="647"/>
      <c r="P221" s="647">
        <f>+'4. Dr Gáspár HSZK'!P29</f>
        <v>0</v>
      </c>
      <c r="Q221" s="647">
        <f>+'4. Dr Gáspár HSZK'!Q29</f>
        <v>0</v>
      </c>
      <c r="R221" s="647">
        <f>+'4. Dr Gáspár HSZK'!R29</f>
        <v>280000</v>
      </c>
      <c r="S221" s="647">
        <f>+'4. Dr Gáspár HSZK'!S29</f>
        <v>280000</v>
      </c>
      <c r="T221" s="549"/>
      <c r="U221" s="648"/>
      <c r="V221" s="494"/>
      <c r="W221" s="494"/>
      <c r="X221" s="494"/>
      <c r="Y221" s="494"/>
    </row>
    <row r="222" spans="1:25" hidden="1" x14ac:dyDescent="0.25">
      <c r="A222" s="593"/>
      <c r="B222" s="655" t="str">
        <f t="shared" ref="B222:B226" si="60">+B214</f>
        <v>SÜLYSÁPI CSICSERGŐ ÓVODA</v>
      </c>
      <c r="C222" s="647">
        <f>+'5. Csicsergő'!C30</f>
        <v>30300000</v>
      </c>
      <c r="D222" s="647">
        <f>+'5. Csicsergő'!D30</f>
        <v>30300000</v>
      </c>
      <c r="E222" s="647">
        <f>+'5. Csicsergő'!E30</f>
        <v>30300000</v>
      </c>
      <c r="F222" s="647">
        <f>+'5. Csicsergő'!F30</f>
        <v>29246638</v>
      </c>
      <c r="G222" s="647"/>
      <c r="H222" s="647">
        <f>+'5. Csicsergő'!H30</f>
        <v>14667948</v>
      </c>
      <c r="I222" s="647">
        <f>+'5. Csicsergő'!I30</f>
        <v>21992464</v>
      </c>
      <c r="J222" s="647">
        <f>+'5. Csicsergő'!J30</f>
        <v>29246638</v>
      </c>
      <c r="K222" s="647"/>
      <c r="L222" s="658"/>
      <c r="M222" s="658"/>
      <c r="N222" s="658"/>
      <c r="O222" s="647"/>
      <c r="P222" s="647">
        <f>+'5. Csicsergő'!P30</f>
        <v>0</v>
      </c>
      <c r="Q222" s="647">
        <f>+'5. Csicsergő'!Q30</f>
        <v>0</v>
      </c>
      <c r="R222" s="647">
        <f>+'5. Csicsergő'!R30</f>
        <v>-1053362</v>
      </c>
      <c r="S222" s="647">
        <f>+'5. Csicsergő'!S30</f>
        <v>-1053362</v>
      </c>
      <c r="T222" s="549"/>
      <c r="U222" s="648"/>
      <c r="V222" s="494"/>
      <c r="W222" s="494"/>
      <c r="X222" s="494"/>
      <c r="Y222" s="494"/>
    </row>
    <row r="223" spans="1:25" hidden="1" x14ac:dyDescent="0.25">
      <c r="A223" s="593"/>
      <c r="B223" s="655" t="str">
        <f t="shared" si="60"/>
        <v>GÓLYAHÍR BÖLCSŐDE</v>
      </c>
      <c r="C223" s="647">
        <f>+'6. Gólyahír'!C29</f>
        <v>7570000</v>
      </c>
      <c r="D223" s="647">
        <f>+'6. Gólyahír'!D29</f>
        <v>7570000</v>
      </c>
      <c r="E223" s="647">
        <f>+'6. Gólyahír'!E29</f>
        <v>7570000</v>
      </c>
      <c r="F223" s="647">
        <f>+'6. Gólyahír'!F29</f>
        <v>7991000</v>
      </c>
      <c r="G223" s="647"/>
      <c r="H223" s="647">
        <f>+'6. Gólyahír'!H29</f>
        <v>3968216</v>
      </c>
      <c r="I223" s="647">
        <f>+'6. Gólyahír'!I29</f>
        <v>5974077</v>
      </c>
      <c r="J223" s="647">
        <f>+'6. Gólyahír'!J29</f>
        <v>7990466</v>
      </c>
      <c r="K223" s="647"/>
      <c r="L223" s="658"/>
      <c r="M223" s="658"/>
      <c r="N223" s="658"/>
      <c r="O223" s="647"/>
      <c r="P223" s="647">
        <f>+'6. Gólyahír'!P29</f>
        <v>0</v>
      </c>
      <c r="Q223" s="647">
        <f>+'6. Gólyahír'!Q29</f>
        <v>0</v>
      </c>
      <c r="R223" s="647">
        <f>+'6. Gólyahír'!R29</f>
        <v>421000</v>
      </c>
      <c r="S223" s="647">
        <f>+'6. Gólyahír'!S29</f>
        <v>421000</v>
      </c>
      <c r="T223" s="549"/>
      <c r="U223" s="648"/>
      <c r="V223" s="494"/>
      <c r="W223" s="494"/>
      <c r="X223" s="494"/>
      <c r="Y223" s="494"/>
    </row>
    <row r="224" spans="1:25" hidden="1" x14ac:dyDescent="0.25">
      <c r="A224" s="593"/>
      <c r="B224" s="655" t="str">
        <f t="shared" si="60"/>
        <v>POLGÁRMESTERI HIVATAL</v>
      </c>
      <c r="C224" s="647">
        <f>+'7. Polg.Hiv.'!C29</f>
        <v>18584000</v>
      </c>
      <c r="D224" s="647">
        <f>+'7. Polg.Hiv.'!D29</f>
        <v>18584000</v>
      </c>
      <c r="E224" s="647">
        <f>+'7. Polg.Hiv.'!E29</f>
        <v>18584000</v>
      </c>
      <c r="F224" s="647">
        <f>+'7. Polg.Hiv.'!F29</f>
        <v>19934000</v>
      </c>
      <c r="G224" s="647"/>
      <c r="H224" s="647">
        <f>+'7. Polg.Hiv.'!H29</f>
        <v>10686574</v>
      </c>
      <c r="I224" s="647">
        <f>+'7. Polg.Hiv.'!I29</f>
        <v>15377304</v>
      </c>
      <c r="J224" s="647">
        <f>+'7. Polg.Hiv.'!J29</f>
        <v>19930824</v>
      </c>
      <c r="K224" s="647"/>
      <c r="L224" s="658"/>
      <c r="M224" s="658"/>
      <c r="N224" s="658"/>
      <c r="O224" s="647"/>
      <c r="P224" s="647">
        <f>+'7. Polg.Hiv.'!P29</f>
        <v>0</v>
      </c>
      <c r="Q224" s="647">
        <f>+'7. Polg.Hiv.'!Q29</f>
        <v>0</v>
      </c>
      <c r="R224" s="647">
        <f>+'7. Polg.Hiv.'!R29</f>
        <v>1350000</v>
      </c>
      <c r="S224" s="647">
        <f>+'7. Polg.Hiv.'!S29</f>
        <v>1350000</v>
      </c>
      <c r="T224" s="549"/>
      <c r="U224" s="648"/>
      <c r="V224" s="494"/>
      <c r="W224" s="494"/>
      <c r="X224" s="494"/>
      <c r="Y224" s="494"/>
    </row>
    <row r="225" spans="1:25" hidden="1" x14ac:dyDescent="0.25">
      <c r="A225" s="593"/>
      <c r="B225" s="655" t="str">
        <f t="shared" si="60"/>
        <v>Wass Albert Művelődési Központ és Könyvtár</v>
      </c>
      <c r="C225" s="647">
        <f>+'8. WAMKK'!C29</f>
        <v>3000000</v>
      </c>
      <c r="D225" s="647">
        <f>+'8. WAMKK'!D29</f>
        <v>3000000</v>
      </c>
      <c r="E225" s="647">
        <f>+'8. WAMKK'!E29</f>
        <v>3000000</v>
      </c>
      <c r="F225" s="647">
        <f>+'8. WAMKK'!F29</f>
        <v>3038079</v>
      </c>
      <c r="G225" s="647"/>
      <c r="H225" s="647">
        <f>+'8. WAMKK'!H29</f>
        <v>1585885</v>
      </c>
      <c r="I225" s="647">
        <f>+'8. WAMKK'!I29</f>
        <v>2473491</v>
      </c>
      <c r="J225" s="647">
        <f>+'8. WAMKK'!J29</f>
        <v>3038079</v>
      </c>
      <c r="K225" s="647"/>
      <c r="L225" s="658"/>
      <c r="M225" s="658"/>
      <c r="N225" s="658"/>
      <c r="O225" s="647"/>
      <c r="P225" s="647">
        <f>+'8. WAMKK'!P29</f>
        <v>0</v>
      </c>
      <c r="Q225" s="647">
        <f>+'8. WAMKK'!Q29</f>
        <v>0</v>
      </c>
      <c r="R225" s="647">
        <f>+'8. WAMKK'!R29</f>
        <v>38079</v>
      </c>
      <c r="S225" s="647">
        <f>+'8. WAMKK'!S29</f>
        <v>38079</v>
      </c>
      <c r="T225" s="549"/>
      <c r="U225" s="648"/>
      <c r="V225" s="494"/>
      <c r="W225" s="494"/>
      <c r="X225" s="494"/>
      <c r="Y225" s="494"/>
    </row>
    <row r="226" spans="1:25" hidden="1" x14ac:dyDescent="0.25">
      <c r="A226" s="593"/>
      <c r="B226" s="655" t="str">
        <f t="shared" si="60"/>
        <v>Központi Konyha</v>
      </c>
      <c r="C226" s="647">
        <f>+'9. Közp. Konyha'!C29</f>
        <v>5477891.25</v>
      </c>
      <c r="D226" s="647">
        <f>+'9. Közp. Konyha'!D29</f>
        <v>5477891</v>
      </c>
      <c r="E226" s="647">
        <f>+'9. Közp. Konyha'!E29</f>
        <v>5477891</v>
      </c>
      <c r="F226" s="647">
        <f>+'9. Közp. Konyha'!F29</f>
        <v>5689597</v>
      </c>
      <c r="G226" s="647"/>
      <c r="H226" s="647">
        <f>+'9. Közp. Konyha'!H29</f>
        <v>3010560</v>
      </c>
      <c r="I226" s="647">
        <f>+'9. Közp. Konyha'!I29</f>
        <v>4356993</v>
      </c>
      <c r="J226" s="647">
        <f>+'9. Közp. Konyha'!J29</f>
        <v>5689597</v>
      </c>
      <c r="K226" s="647"/>
      <c r="L226" s="658"/>
      <c r="M226" s="658"/>
      <c r="N226" s="658"/>
      <c r="O226" s="647"/>
      <c r="P226" s="647">
        <f>+'9. Közp. Konyha'!P29</f>
        <v>-0.25</v>
      </c>
      <c r="Q226" s="647">
        <f>+'9. Közp. Konyha'!Q29</f>
        <v>0</v>
      </c>
      <c r="R226" s="647">
        <f>+'9. Közp. Konyha'!R29</f>
        <v>211706</v>
      </c>
      <c r="S226" s="647">
        <f>+'9. Közp. Konyha'!S29</f>
        <v>211705.75</v>
      </c>
      <c r="T226" s="549"/>
      <c r="U226" s="648"/>
      <c r="V226" s="494"/>
      <c r="W226" s="494"/>
      <c r="X226" s="494"/>
      <c r="Y226" s="494"/>
    </row>
    <row r="227" spans="1:25" hidden="1" x14ac:dyDescent="0.25">
      <c r="A227" s="593"/>
      <c r="B227" s="681" t="s">
        <v>449</v>
      </c>
      <c r="C227" s="682">
        <f>SUM(C221:C226)</f>
        <v>69271891.25</v>
      </c>
      <c r="D227" s="682">
        <f>SUM(D221:D226)</f>
        <v>69271891</v>
      </c>
      <c r="E227" s="682">
        <f>SUM(E221:E226)</f>
        <v>69271891</v>
      </c>
      <c r="F227" s="682">
        <f>SUM(F221:F226)</f>
        <v>70519314</v>
      </c>
      <c r="G227" s="682"/>
      <c r="H227" s="682">
        <f>SUM(H221:H226)</f>
        <v>36335814</v>
      </c>
      <c r="I227" s="682">
        <f>SUM(I221:I226)</f>
        <v>53740429</v>
      </c>
      <c r="J227" s="682">
        <f>SUM(J221:J226)</f>
        <v>70511926</v>
      </c>
      <c r="K227" s="682"/>
      <c r="L227" s="683"/>
      <c r="M227" s="683"/>
      <c r="N227" s="683"/>
      <c r="O227" s="682"/>
      <c r="P227" s="682">
        <f>SUM(P221:P226)</f>
        <v>-0.25</v>
      </c>
      <c r="Q227" s="682">
        <f>SUM(Q221:Q226)</f>
        <v>0</v>
      </c>
      <c r="R227" s="682">
        <f>SUM(R221:R226)</f>
        <v>1247423</v>
      </c>
      <c r="S227" s="684">
        <f>SUM(S221:S226)</f>
        <v>1247422.75</v>
      </c>
      <c r="T227" s="549"/>
      <c r="U227" s="648"/>
      <c r="V227" s="494"/>
      <c r="W227" s="494"/>
      <c r="X227" s="494"/>
      <c r="Y227" s="494"/>
    </row>
    <row r="228" spans="1:25" hidden="1" x14ac:dyDescent="0.25">
      <c r="A228" s="593"/>
      <c r="B228" s="593"/>
      <c r="C228" s="647"/>
      <c r="D228" s="648"/>
      <c r="E228" s="648"/>
      <c r="F228" s="648"/>
      <c r="G228" s="648"/>
      <c r="H228" s="647"/>
      <c r="I228" s="653"/>
      <c r="J228" s="653"/>
      <c r="K228" s="648"/>
      <c r="L228" s="650"/>
      <c r="M228" s="651"/>
      <c r="N228" s="554"/>
      <c r="O228" s="648"/>
      <c r="P228" s="647"/>
      <c r="Q228" s="647"/>
      <c r="R228" s="647"/>
      <c r="S228" s="647"/>
      <c r="T228" s="549"/>
      <c r="U228" s="648"/>
      <c r="V228" s="494"/>
      <c r="W228" s="494"/>
      <c r="X228" s="494"/>
      <c r="Y228" s="494"/>
    </row>
    <row r="229" spans="1:25" hidden="1" x14ac:dyDescent="0.25">
      <c r="A229" s="655" t="s">
        <v>30</v>
      </c>
      <c r="B229" s="655" t="str">
        <f>+B221</f>
        <v>Dr. Gáspár István HSZK</v>
      </c>
      <c r="C229" s="647">
        <f>+'4. Dr Gáspár HSZK'!C32</f>
        <v>10796000</v>
      </c>
      <c r="D229" s="647">
        <f>+'4. Dr Gáspár HSZK'!D32</f>
        <v>10796000</v>
      </c>
      <c r="E229" s="647">
        <f>+'4. Dr Gáspár HSZK'!E32</f>
        <v>10756000</v>
      </c>
      <c r="F229" s="647">
        <f>+'4. Dr Gáspár HSZK'!F32</f>
        <v>9901000</v>
      </c>
      <c r="G229" s="647"/>
      <c r="H229" s="647">
        <f>+'4. Dr Gáspár HSZK'!H32</f>
        <v>5083396</v>
      </c>
      <c r="I229" s="647">
        <f>+'4. Dr Gáspár HSZK'!I32</f>
        <v>6329879</v>
      </c>
      <c r="J229" s="647">
        <f>+'4. Dr Gáspár HSZK'!J32</f>
        <v>8572565</v>
      </c>
      <c r="K229" s="647"/>
      <c r="L229" s="658"/>
      <c r="M229" s="658"/>
      <c r="N229" s="658"/>
      <c r="O229" s="647"/>
      <c r="P229" s="647">
        <f>+'4. Dr Gáspár HSZK'!P32</f>
        <v>0</v>
      </c>
      <c r="Q229" s="647">
        <f>+'4. Dr Gáspár HSZK'!Q32</f>
        <v>-40000</v>
      </c>
      <c r="R229" s="647">
        <f>+'4. Dr Gáspár HSZK'!R32</f>
        <v>-855000</v>
      </c>
      <c r="S229" s="647">
        <f>+'4. Dr Gáspár HSZK'!S32</f>
        <v>-895000</v>
      </c>
      <c r="T229" s="549"/>
      <c r="U229" s="648"/>
      <c r="V229" s="494"/>
      <c r="W229" s="494"/>
      <c r="X229" s="494"/>
      <c r="Y229" s="494"/>
    </row>
    <row r="230" spans="1:25" hidden="1" x14ac:dyDescent="0.25">
      <c r="A230" s="593"/>
      <c r="B230" s="655" t="str">
        <f t="shared" ref="B230:B234" si="61">+B222</f>
        <v>SÜLYSÁPI CSICSERGŐ ÓVODA</v>
      </c>
      <c r="C230" s="647">
        <f>+'5. Csicsergő'!C33</f>
        <v>14085000</v>
      </c>
      <c r="D230" s="647">
        <f>+'5. Csicsergő'!D33</f>
        <v>14085000</v>
      </c>
      <c r="E230" s="647">
        <f>+'5. Csicsergő'!E33</f>
        <v>14085000</v>
      </c>
      <c r="F230" s="647">
        <f>+'5. Csicsergő'!F33</f>
        <v>14397545</v>
      </c>
      <c r="G230" s="647"/>
      <c r="H230" s="647">
        <f>+'5. Csicsergő'!H33</f>
        <v>7026286</v>
      </c>
      <c r="I230" s="647">
        <f>+'5. Csicsergő'!I33</f>
        <v>9465395</v>
      </c>
      <c r="J230" s="647">
        <f>+'5. Csicsergő'!J33</f>
        <v>13465833</v>
      </c>
      <c r="K230" s="647"/>
      <c r="L230" s="658"/>
      <c r="M230" s="658"/>
      <c r="N230" s="658"/>
      <c r="O230" s="647"/>
      <c r="P230" s="647">
        <f>+'5. Csicsergő'!P33</f>
        <v>0</v>
      </c>
      <c r="Q230" s="647">
        <f>+'5. Csicsergő'!Q33</f>
        <v>0</v>
      </c>
      <c r="R230" s="647">
        <f>+'5. Csicsergő'!R33</f>
        <v>312545</v>
      </c>
      <c r="S230" s="647">
        <f>+'5. Csicsergő'!S33</f>
        <v>312545</v>
      </c>
      <c r="T230" s="549"/>
      <c r="U230" s="648"/>
      <c r="V230" s="494"/>
      <c r="W230" s="494"/>
      <c r="X230" s="494"/>
      <c r="Y230" s="494"/>
    </row>
    <row r="231" spans="1:25" hidden="1" x14ac:dyDescent="0.25">
      <c r="A231" s="593"/>
      <c r="B231" s="655" t="str">
        <f t="shared" si="61"/>
        <v>GÓLYAHÍR BÖLCSŐDE</v>
      </c>
      <c r="C231" s="647">
        <f>+'6. Gólyahír'!C32</f>
        <v>11039000</v>
      </c>
      <c r="D231" s="647">
        <f>+'6. Gólyahír'!D32</f>
        <v>11009000</v>
      </c>
      <c r="E231" s="647">
        <f>+'6. Gólyahír'!E32</f>
        <v>10899000</v>
      </c>
      <c r="F231" s="647">
        <f>+'6. Gólyahír'!F32</f>
        <v>9658000</v>
      </c>
      <c r="G231" s="647"/>
      <c r="H231" s="647">
        <f>+'6. Gólyahír'!H32</f>
        <v>3711532</v>
      </c>
      <c r="I231" s="647">
        <f>+'6. Gólyahír'!I32</f>
        <v>5986904</v>
      </c>
      <c r="J231" s="647">
        <f>+'6. Gólyahír'!J32</f>
        <v>9464289</v>
      </c>
      <c r="K231" s="647"/>
      <c r="L231" s="658"/>
      <c r="M231" s="658"/>
      <c r="N231" s="658"/>
      <c r="O231" s="647"/>
      <c r="P231" s="647">
        <f>+'6. Gólyahír'!P32</f>
        <v>-30000</v>
      </c>
      <c r="Q231" s="647">
        <f>+'6. Gólyahír'!Q32</f>
        <v>-110000</v>
      </c>
      <c r="R231" s="647">
        <f>+'6. Gólyahír'!R32</f>
        <v>-1241000</v>
      </c>
      <c r="S231" s="647">
        <f>+'6. Gólyahír'!S32</f>
        <v>-1381000</v>
      </c>
      <c r="T231" s="549"/>
      <c r="U231" s="648"/>
      <c r="V231" s="494"/>
      <c r="W231" s="494"/>
      <c r="X231" s="494"/>
      <c r="Y231" s="494"/>
    </row>
    <row r="232" spans="1:25" hidden="1" x14ac:dyDescent="0.25">
      <c r="A232" s="593"/>
      <c r="B232" s="655" t="str">
        <f t="shared" si="61"/>
        <v>POLGÁRMESTERI HIVATAL</v>
      </c>
      <c r="C232" s="647">
        <f>+'7. Polg.Hiv.'!C32</f>
        <v>11532000</v>
      </c>
      <c r="D232" s="647">
        <f>+'7. Polg.Hiv.'!D32</f>
        <v>11532000</v>
      </c>
      <c r="E232" s="647">
        <f>+'7. Polg.Hiv.'!E32</f>
        <v>11122000</v>
      </c>
      <c r="F232" s="647">
        <f>+'7. Polg.Hiv.'!F32</f>
        <v>10625202</v>
      </c>
      <c r="G232" s="647"/>
      <c r="H232" s="647">
        <f>+'7. Polg.Hiv.'!H32</f>
        <v>4243117</v>
      </c>
      <c r="I232" s="647">
        <f>+'7. Polg.Hiv.'!I32</f>
        <v>6915450</v>
      </c>
      <c r="J232" s="647">
        <f>+'7. Polg.Hiv.'!J32</f>
        <v>9325195</v>
      </c>
      <c r="K232" s="647"/>
      <c r="L232" s="658"/>
      <c r="M232" s="658"/>
      <c r="N232" s="658"/>
      <c r="O232" s="647"/>
      <c r="P232" s="647">
        <f>+'7. Polg.Hiv.'!P32</f>
        <v>0</v>
      </c>
      <c r="Q232" s="647">
        <f>+'7. Polg.Hiv.'!Q32</f>
        <v>-410000</v>
      </c>
      <c r="R232" s="647">
        <f>+'7. Polg.Hiv.'!R32</f>
        <v>-496798</v>
      </c>
      <c r="S232" s="647">
        <f>+'7. Polg.Hiv.'!S32</f>
        <v>-906798</v>
      </c>
      <c r="T232" s="549"/>
      <c r="U232" s="648"/>
      <c r="V232" s="494"/>
      <c r="W232" s="494"/>
      <c r="X232" s="494"/>
      <c r="Y232" s="494"/>
    </row>
    <row r="233" spans="1:25" hidden="1" x14ac:dyDescent="0.25">
      <c r="A233" s="593"/>
      <c r="B233" s="655" t="str">
        <f t="shared" si="61"/>
        <v>Wass Albert Művelődési Központ és Könyvtár</v>
      </c>
      <c r="C233" s="647">
        <f>+'8. WAMKK'!C32</f>
        <v>14315000</v>
      </c>
      <c r="D233" s="647">
        <f>+'8. WAMKK'!D32</f>
        <v>14315000</v>
      </c>
      <c r="E233" s="647">
        <f>+'8. WAMKK'!E32</f>
        <v>14128800</v>
      </c>
      <c r="F233" s="647">
        <f>+'8. WAMKK'!F32</f>
        <v>10323466</v>
      </c>
      <c r="G233" s="647"/>
      <c r="H233" s="647">
        <f>+'8. WAMKK'!H32</f>
        <v>5269280</v>
      </c>
      <c r="I233" s="647">
        <f>+'8. WAMKK'!I32</f>
        <v>7723776</v>
      </c>
      <c r="J233" s="647">
        <f>+'8. WAMKK'!J32</f>
        <v>9994116</v>
      </c>
      <c r="K233" s="647"/>
      <c r="L233" s="658"/>
      <c r="M233" s="658"/>
      <c r="N233" s="658"/>
      <c r="O233" s="647"/>
      <c r="P233" s="647">
        <f>+'8. WAMKK'!P32</f>
        <v>0</v>
      </c>
      <c r="Q233" s="647">
        <f>+'8. WAMKK'!Q32</f>
        <v>-186200</v>
      </c>
      <c r="R233" s="647">
        <f>+'8. WAMKK'!R32</f>
        <v>-3805334</v>
      </c>
      <c r="S233" s="647">
        <f>+'8. WAMKK'!S32</f>
        <v>-3991534</v>
      </c>
      <c r="T233" s="549"/>
      <c r="U233" s="648"/>
      <c r="V233" s="494"/>
      <c r="W233" s="494"/>
      <c r="X233" s="494"/>
      <c r="Y233" s="494"/>
    </row>
    <row r="234" spans="1:25" hidden="1" x14ac:dyDescent="0.25">
      <c r="A234" s="593"/>
      <c r="B234" s="655" t="str">
        <f t="shared" si="61"/>
        <v>Központi Konyha</v>
      </c>
      <c r="C234" s="647">
        <f>+'9. Közp. Konyha'!C32</f>
        <v>67166000</v>
      </c>
      <c r="D234" s="647">
        <f>+'9. Közp. Konyha'!D32</f>
        <v>67119689</v>
      </c>
      <c r="E234" s="647">
        <f>+'9. Közp. Konyha'!E32</f>
        <v>66912132</v>
      </c>
      <c r="F234" s="647">
        <f>+'9. Közp. Konyha'!F32</f>
        <v>69412132</v>
      </c>
      <c r="G234" s="647"/>
      <c r="H234" s="647">
        <f>+'9. Közp. Konyha'!H32</f>
        <v>35894094</v>
      </c>
      <c r="I234" s="647">
        <f>+'9. Közp. Konyha'!I32</f>
        <v>44860861</v>
      </c>
      <c r="J234" s="647">
        <f>+'9. Közp. Konyha'!J32</f>
        <v>64745473</v>
      </c>
      <c r="K234" s="647"/>
      <c r="L234" s="658"/>
      <c r="M234" s="658"/>
      <c r="N234" s="658"/>
      <c r="O234" s="647"/>
      <c r="P234" s="647">
        <f>+'9. Közp. Konyha'!P32</f>
        <v>-46311</v>
      </c>
      <c r="Q234" s="647">
        <f>+'9. Közp. Konyha'!Q32</f>
        <v>-207557</v>
      </c>
      <c r="R234" s="647">
        <f>+'9. Közp. Konyha'!R32</f>
        <v>2500000</v>
      </c>
      <c r="S234" s="647">
        <f>+'9. Közp. Konyha'!S32</f>
        <v>2246132</v>
      </c>
      <c r="T234" s="549"/>
      <c r="U234" s="648"/>
      <c r="V234" s="494"/>
      <c r="W234" s="494"/>
      <c r="X234" s="494"/>
      <c r="Y234" s="494"/>
    </row>
    <row r="235" spans="1:25" hidden="1" x14ac:dyDescent="0.25">
      <c r="A235" s="593"/>
      <c r="B235" s="681" t="s">
        <v>449</v>
      </c>
      <c r="C235" s="682">
        <f>SUM(C229:C234)</f>
        <v>128933000</v>
      </c>
      <c r="D235" s="682">
        <f>SUM(D229:D234)</f>
        <v>128856689</v>
      </c>
      <c r="E235" s="682">
        <f>SUM(E229:E234)</f>
        <v>127902932</v>
      </c>
      <c r="F235" s="682">
        <f>SUM(F229:F234)</f>
        <v>124317345</v>
      </c>
      <c r="G235" s="682"/>
      <c r="H235" s="682">
        <f>SUM(H229:H234)</f>
        <v>61227705</v>
      </c>
      <c r="I235" s="682">
        <f>SUM(I229:I234)</f>
        <v>81282265</v>
      </c>
      <c r="J235" s="682">
        <f>SUM(J229:J234)</f>
        <v>115567471</v>
      </c>
      <c r="K235" s="682"/>
      <c r="L235" s="683"/>
      <c r="M235" s="683"/>
      <c r="N235" s="683"/>
      <c r="O235" s="682"/>
      <c r="P235" s="682">
        <f>SUM(P229:P234)</f>
        <v>-76311</v>
      </c>
      <c r="Q235" s="682">
        <f>SUM(Q229:Q234)</f>
        <v>-953757</v>
      </c>
      <c r="R235" s="682">
        <f>SUM(R229:R234)</f>
        <v>-3585587</v>
      </c>
      <c r="S235" s="684">
        <f>SUM(S229:S234)</f>
        <v>-4615655</v>
      </c>
      <c r="T235" s="549"/>
      <c r="U235" s="648"/>
      <c r="V235" s="494"/>
      <c r="W235" s="494"/>
      <c r="X235" s="494"/>
      <c r="Y235" s="494"/>
    </row>
    <row r="236" spans="1:25" hidden="1" x14ac:dyDescent="0.25">
      <c r="A236" s="593"/>
      <c r="B236" s="593"/>
      <c r="C236" s="647"/>
      <c r="D236" s="648"/>
      <c r="E236" s="648"/>
      <c r="F236" s="648"/>
      <c r="G236" s="648"/>
      <c r="H236" s="647"/>
      <c r="I236" s="653"/>
      <c r="J236" s="653"/>
      <c r="K236" s="648"/>
      <c r="L236" s="650"/>
      <c r="M236" s="651"/>
      <c r="N236" s="554"/>
      <c r="O236" s="648"/>
      <c r="P236" s="647"/>
      <c r="Q236" s="647"/>
      <c r="R236" s="647"/>
      <c r="S236" s="647"/>
      <c r="T236" s="549"/>
      <c r="U236" s="648"/>
      <c r="V236" s="494"/>
      <c r="W236" s="494"/>
      <c r="X236" s="494"/>
      <c r="Y236" s="494"/>
    </row>
    <row r="237" spans="1:25" hidden="1" x14ac:dyDescent="0.25">
      <c r="A237" s="593"/>
      <c r="B237" s="593"/>
      <c r="C237" s="647">
        <f>+C227+C219</f>
        <v>417966303.25</v>
      </c>
      <c r="D237" s="648"/>
      <c r="E237" s="648"/>
      <c r="F237" s="648"/>
      <c r="G237" s="648"/>
      <c r="H237" s="647"/>
      <c r="I237" s="653"/>
      <c r="J237" s="653"/>
      <c r="K237" s="648"/>
      <c r="L237" s="650"/>
      <c r="M237" s="651"/>
      <c r="N237" s="554"/>
      <c r="O237" s="648"/>
      <c r="P237" s="647"/>
      <c r="Q237" s="647"/>
      <c r="R237" s="647"/>
      <c r="S237" s="647"/>
      <c r="T237" s="549"/>
      <c r="U237" s="648"/>
      <c r="V237" s="494"/>
      <c r="W237" s="494"/>
      <c r="X237" s="494"/>
      <c r="Y237" s="494"/>
    </row>
    <row r="238" spans="1:25" hidden="1" x14ac:dyDescent="0.25">
      <c r="A238" s="593"/>
      <c r="B238" s="593"/>
      <c r="C238" s="647"/>
      <c r="D238" s="648"/>
      <c r="E238" s="648"/>
      <c r="F238" s="648"/>
      <c r="G238" s="648"/>
      <c r="H238" s="647"/>
      <c r="I238" s="653"/>
      <c r="J238" s="653"/>
      <c r="K238" s="648"/>
      <c r="L238" s="650"/>
      <c r="M238" s="651"/>
      <c r="N238" s="554"/>
      <c r="O238" s="648"/>
      <c r="P238" s="647"/>
      <c r="Q238" s="647"/>
      <c r="R238" s="647"/>
      <c r="S238" s="647"/>
      <c r="T238" s="549"/>
      <c r="U238" s="648"/>
      <c r="V238" s="494"/>
      <c r="W238" s="494"/>
      <c r="X238" s="494"/>
      <c r="Y238" s="494"/>
    </row>
    <row r="239" spans="1:25" hidden="1" x14ac:dyDescent="0.25">
      <c r="A239" s="593"/>
      <c r="B239" s="593"/>
      <c r="C239" s="647"/>
      <c r="D239" s="648"/>
      <c r="E239" s="648"/>
      <c r="F239" s="648"/>
      <c r="G239" s="648"/>
      <c r="H239" s="647"/>
      <c r="I239" s="653"/>
      <c r="J239" s="653"/>
      <c r="K239" s="648"/>
      <c r="L239" s="650"/>
      <c r="M239" s="651"/>
      <c r="N239" s="554"/>
      <c r="O239" s="648"/>
      <c r="P239" s="647"/>
      <c r="Q239" s="647"/>
      <c r="R239" s="647"/>
      <c r="S239" s="647"/>
      <c r="T239" s="549"/>
      <c r="U239" s="648"/>
      <c r="V239" s="494"/>
      <c r="W239" s="494"/>
      <c r="X239" s="494"/>
      <c r="Y239" s="494"/>
    </row>
    <row r="240" spans="1:25" hidden="1" x14ac:dyDescent="0.25">
      <c r="A240" s="593"/>
      <c r="B240" s="593"/>
      <c r="C240" s="593"/>
      <c r="D240" s="653"/>
      <c r="E240" s="653"/>
      <c r="F240" s="653"/>
      <c r="G240" s="653"/>
      <c r="H240" s="593"/>
      <c r="I240" s="653"/>
      <c r="J240" s="653"/>
      <c r="K240" s="653"/>
      <c r="L240" s="650"/>
      <c r="M240" s="651"/>
      <c r="N240" s="554"/>
      <c r="O240" s="653"/>
      <c r="P240" s="593"/>
      <c r="Q240" s="593"/>
      <c r="R240" s="593"/>
      <c r="S240" s="593"/>
      <c r="T240" s="549"/>
      <c r="U240" s="653"/>
      <c r="V240" s="494"/>
      <c r="W240" s="494"/>
      <c r="X240" s="494"/>
      <c r="Y240" s="494"/>
    </row>
    <row r="241" spans="1:25" hidden="1" x14ac:dyDescent="0.25">
      <c r="A241" s="593"/>
      <c r="B241" s="593"/>
      <c r="C241" s="593"/>
      <c r="D241" s="653"/>
      <c r="E241" s="653"/>
      <c r="F241" s="653"/>
      <c r="G241" s="653"/>
      <c r="H241" s="593"/>
      <c r="I241" s="653"/>
      <c r="J241" s="653"/>
      <c r="K241" s="653"/>
      <c r="L241" s="658"/>
      <c r="M241" s="554"/>
      <c r="N241" s="554"/>
      <c r="O241" s="653"/>
      <c r="P241" s="593"/>
      <c r="Q241" s="593"/>
      <c r="R241" s="593"/>
      <c r="S241" s="593"/>
      <c r="T241" s="549"/>
      <c r="U241" s="653"/>
      <c r="V241" s="494"/>
      <c r="W241" s="494"/>
      <c r="X241" s="494"/>
      <c r="Y241" s="494"/>
    </row>
    <row r="242" spans="1:25" hidden="1" x14ac:dyDescent="0.25">
      <c r="A242" s="593"/>
      <c r="B242" s="593"/>
      <c r="C242" s="593"/>
      <c r="D242" s="653"/>
      <c r="E242" s="653"/>
      <c r="F242" s="653"/>
      <c r="G242" s="653"/>
      <c r="H242" s="593"/>
      <c r="I242" s="653"/>
      <c r="J242" s="653"/>
      <c r="K242" s="653"/>
      <c r="L242" s="658"/>
      <c r="M242" s="554"/>
      <c r="N242" s="554"/>
      <c r="O242" s="653"/>
      <c r="P242" s="593"/>
      <c r="Q242" s="593"/>
      <c r="R242" s="593"/>
      <c r="S242" s="593"/>
      <c r="T242" s="549"/>
      <c r="U242" s="653"/>
      <c r="V242" s="494"/>
      <c r="W242" s="494"/>
      <c r="X242" s="494"/>
      <c r="Y242" s="494"/>
    </row>
    <row r="243" spans="1:25" hidden="1" x14ac:dyDescent="0.25">
      <c r="A243" s="593"/>
      <c r="B243" s="593"/>
      <c r="C243" s="593"/>
      <c r="D243" s="653"/>
      <c r="E243" s="653"/>
      <c r="F243" s="653"/>
      <c r="G243" s="653"/>
      <c r="H243" s="593"/>
      <c r="I243" s="653"/>
      <c r="J243" s="653"/>
      <c r="K243" s="653"/>
      <c r="L243" s="658"/>
      <c r="M243" s="554"/>
      <c r="N243" s="554"/>
      <c r="O243" s="653"/>
      <c r="P243" s="593"/>
      <c r="Q243" s="593"/>
      <c r="R243" s="593"/>
      <c r="S243" s="593"/>
      <c r="T243" s="549"/>
      <c r="U243" s="653"/>
      <c r="V243" s="494"/>
      <c r="W243" s="494"/>
      <c r="X243" s="494"/>
      <c r="Y243" s="494"/>
    </row>
    <row r="244" spans="1:25" hidden="1" x14ac:dyDescent="0.25">
      <c r="A244" s="593"/>
      <c r="B244" s="593"/>
      <c r="C244" s="593"/>
      <c r="D244" s="653"/>
      <c r="E244" s="653"/>
      <c r="F244" s="653"/>
      <c r="G244" s="653"/>
      <c r="H244" s="593"/>
      <c r="I244" s="653"/>
      <c r="J244" s="653"/>
      <c r="K244" s="653"/>
      <c r="L244" s="658"/>
      <c r="M244" s="554"/>
      <c r="N244" s="554"/>
      <c r="O244" s="653"/>
      <c r="P244" s="593"/>
      <c r="Q244" s="593"/>
      <c r="R244" s="593"/>
      <c r="S244" s="593"/>
      <c r="T244" s="549"/>
      <c r="U244" s="653"/>
      <c r="V244" s="494"/>
      <c r="W244" s="494"/>
      <c r="X244" s="494"/>
      <c r="Y244" s="494"/>
    </row>
    <row r="245" spans="1:25" hidden="1" x14ac:dyDescent="0.25">
      <c r="A245" s="593"/>
      <c r="B245" s="593"/>
      <c r="C245" s="593"/>
      <c r="D245" s="653"/>
      <c r="E245" s="653"/>
      <c r="F245" s="653"/>
      <c r="G245" s="653"/>
      <c r="H245" s="593"/>
      <c r="I245" s="653"/>
      <c r="J245" s="653"/>
      <c r="K245" s="653"/>
      <c r="L245" s="658"/>
      <c r="M245" s="554"/>
      <c r="N245" s="554"/>
      <c r="O245" s="653"/>
      <c r="P245" s="593"/>
      <c r="Q245" s="593"/>
      <c r="R245" s="593"/>
      <c r="S245" s="593"/>
      <c r="T245" s="549"/>
      <c r="U245" s="653"/>
      <c r="V245" s="494"/>
      <c r="W245" s="494"/>
      <c r="X245" s="494"/>
      <c r="Y245" s="494"/>
    </row>
    <row r="246" spans="1:25" hidden="1" x14ac:dyDescent="0.25">
      <c r="A246" s="593"/>
      <c r="B246" s="593"/>
      <c r="C246" s="593"/>
      <c r="D246" s="653"/>
      <c r="E246" s="653"/>
      <c r="F246" s="653"/>
      <c r="G246" s="653"/>
      <c r="H246" s="593"/>
      <c r="I246" s="653"/>
      <c r="J246" s="653"/>
      <c r="K246" s="653"/>
      <c r="L246" s="658"/>
      <c r="M246" s="554"/>
      <c r="N246" s="554"/>
      <c r="O246" s="653"/>
      <c r="P246" s="593"/>
      <c r="Q246" s="593"/>
      <c r="R246" s="593"/>
      <c r="S246" s="593"/>
      <c r="T246" s="549"/>
      <c r="U246" s="653"/>
      <c r="V246" s="494"/>
      <c r="W246" s="494"/>
      <c r="X246" s="494"/>
      <c r="Y246" s="494"/>
    </row>
    <row r="247" spans="1:25" hidden="1" x14ac:dyDescent="0.25">
      <c r="A247" s="593"/>
      <c r="B247" s="593"/>
      <c r="C247" s="593"/>
      <c r="D247" s="653"/>
      <c r="E247" s="653"/>
      <c r="F247" s="653"/>
      <c r="G247" s="653"/>
      <c r="H247" s="593"/>
      <c r="I247" s="653"/>
      <c r="J247" s="653"/>
      <c r="K247" s="653"/>
      <c r="L247" s="658"/>
      <c r="M247" s="554"/>
      <c r="N247" s="554"/>
      <c r="O247" s="653"/>
      <c r="P247" s="593"/>
      <c r="Q247" s="593"/>
      <c r="R247" s="593"/>
      <c r="S247" s="593"/>
      <c r="T247" s="549"/>
      <c r="U247" s="653"/>
      <c r="V247" s="494"/>
      <c r="W247" s="494"/>
      <c r="X247" s="494"/>
      <c r="Y247" s="494"/>
    </row>
    <row r="248" spans="1:25" hidden="1" x14ac:dyDescent="0.25">
      <c r="A248" s="593"/>
      <c r="B248" s="593"/>
      <c r="C248" s="593"/>
      <c r="D248" s="653"/>
      <c r="E248" s="653"/>
      <c r="F248" s="653"/>
      <c r="G248" s="653"/>
      <c r="H248" s="593"/>
      <c r="I248" s="653"/>
      <c r="J248" s="653"/>
      <c r="K248" s="653"/>
      <c r="L248" s="658"/>
      <c r="M248" s="554"/>
      <c r="N248" s="554"/>
      <c r="O248" s="653"/>
      <c r="P248" s="593"/>
      <c r="Q248" s="593"/>
      <c r="R248" s="593"/>
      <c r="S248" s="593"/>
      <c r="T248" s="549"/>
      <c r="U248" s="653"/>
      <c r="V248" s="494"/>
      <c r="W248" s="494"/>
      <c r="X248" s="494"/>
      <c r="Y248" s="494"/>
    </row>
    <row r="249" spans="1:25" hidden="1" x14ac:dyDescent="0.25">
      <c r="A249" s="593"/>
      <c r="B249" s="593"/>
      <c r="C249" s="593"/>
      <c r="D249" s="653"/>
      <c r="E249" s="653"/>
      <c r="F249" s="653"/>
      <c r="G249" s="653"/>
      <c r="H249" s="593"/>
      <c r="I249" s="653"/>
      <c r="J249" s="653"/>
      <c r="K249" s="653"/>
      <c r="L249" s="658"/>
      <c r="M249" s="554"/>
      <c r="N249" s="554"/>
      <c r="O249" s="653"/>
      <c r="P249" s="593"/>
      <c r="Q249" s="593"/>
      <c r="R249" s="593"/>
      <c r="S249" s="593"/>
      <c r="T249" s="549"/>
      <c r="U249" s="653"/>
      <c r="V249" s="494"/>
      <c r="W249" s="494"/>
      <c r="X249" s="494"/>
      <c r="Y249" s="494"/>
    </row>
    <row r="250" spans="1:25" hidden="1" x14ac:dyDescent="0.25">
      <c r="A250" s="593"/>
      <c r="B250" s="593"/>
      <c r="C250" s="593"/>
      <c r="D250" s="653"/>
      <c r="E250" s="653"/>
      <c r="F250" s="653"/>
      <c r="G250" s="653"/>
      <c r="H250" s="593"/>
      <c r="I250" s="653"/>
      <c r="J250" s="653"/>
      <c r="K250" s="653"/>
      <c r="L250" s="658"/>
      <c r="M250" s="554"/>
      <c r="N250" s="554"/>
      <c r="O250" s="653"/>
      <c r="P250" s="593"/>
      <c r="Q250" s="593"/>
      <c r="R250" s="593"/>
      <c r="S250" s="593"/>
      <c r="T250" s="549"/>
      <c r="U250" s="653"/>
      <c r="V250" s="494"/>
      <c r="W250" s="494"/>
      <c r="X250" s="494"/>
      <c r="Y250" s="494"/>
    </row>
    <row r="251" spans="1:25" hidden="1" x14ac:dyDescent="0.25">
      <c r="A251" s="593"/>
      <c r="B251" s="593"/>
      <c r="C251" s="593"/>
      <c r="D251" s="653"/>
      <c r="E251" s="653"/>
      <c r="F251" s="653"/>
      <c r="G251" s="653"/>
      <c r="H251" s="593"/>
      <c r="I251" s="653"/>
      <c r="J251" s="653"/>
      <c r="K251" s="653"/>
      <c r="L251" s="658"/>
      <c r="M251" s="554"/>
      <c r="N251" s="554"/>
      <c r="O251" s="653"/>
      <c r="P251" s="593"/>
      <c r="Q251" s="593"/>
      <c r="R251" s="593"/>
      <c r="S251" s="593"/>
      <c r="T251" s="549"/>
      <c r="U251" s="653"/>
      <c r="V251" s="494"/>
      <c r="W251" s="494"/>
      <c r="X251" s="494"/>
      <c r="Y251" s="494"/>
    </row>
    <row r="252" spans="1:25" hidden="1" x14ac:dyDescent="0.25">
      <c r="A252" s="593"/>
      <c r="B252" s="593"/>
      <c r="C252" s="593"/>
      <c r="D252" s="653"/>
      <c r="E252" s="653"/>
      <c r="F252" s="653"/>
      <c r="G252" s="653"/>
      <c r="H252" s="593"/>
      <c r="I252" s="653"/>
      <c r="J252" s="653"/>
      <c r="K252" s="653"/>
      <c r="L252" s="658"/>
      <c r="M252" s="554"/>
      <c r="N252" s="554"/>
      <c r="O252" s="653"/>
      <c r="P252" s="593"/>
      <c r="Q252" s="593"/>
      <c r="R252" s="593"/>
      <c r="S252" s="593"/>
      <c r="T252" s="549"/>
      <c r="U252" s="653"/>
      <c r="V252" s="494"/>
      <c r="W252" s="494"/>
      <c r="X252" s="494"/>
      <c r="Y252" s="494"/>
    </row>
    <row r="253" spans="1:25" hidden="1" x14ac:dyDescent="0.25">
      <c r="A253" s="593"/>
      <c r="B253" s="593"/>
      <c r="C253" s="593"/>
      <c r="D253" s="653"/>
      <c r="E253" s="653"/>
      <c r="F253" s="653"/>
      <c r="G253" s="653"/>
      <c r="H253" s="593"/>
      <c r="I253" s="653"/>
      <c r="J253" s="653"/>
      <c r="K253" s="653"/>
      <c r="L253" s="658"/>
      <c r="M253" s="554"/>
      <c r="N253" s="554"/>
      <c r="O253" s="653"/>
      <c r="P253" s="593"/>
      <c r="Q253" s="593"/>
      <c r="R253" s="593"/>
      <c r="S253" s="593"/>
      <c r="T253" s="549"/>
      <c r="U253" s="653"/>
      <c r="V253" s="494"/>
      <c r="W253" s="494"/>
      <c r="X253" s="494"/>
      <c r="Y253" s="494"/>
    </row>
    <row r="254" spans="1:25" hidden="1" x14ac:dyDescent="0.25">
      <c r="A254" s="593"/>
      <c r="B254" s="593"/>
      <c r="C254" s="593"/>
      <c r="D254" s="653"/>
      <c r="E254" s="653"/>
      <c r="F254" s="653"/>
      <c r="G254" s="653"/>
      <c r="H254" s="593"/>
      <c r="I254" s="653"/>
      <c r="J254" s="653"/>
      <c r="K254" s="653"/>
      <c r="L254" s="658"/>
      <c r="M254" s="554"/>
      <c r="N254" s="554"/>
      <c r="O254" s="653"/>
      <c r="P254" s="593"/>
      <c r="Q254" s="593"/>
      <c r="R254" s="593"/>
      <c r="S254" s="593"/>
      <c r="T254" s="549"/>
      <c r="U254" s="653"/>
      <c r="V254" s="494"/>
      <c r="W254" s="494"/>
      <c r="X254" s="494"/>
      <c r="Y254" s="494"/>
    </row>
    <row r="255" spans="1:25" hidden="1" x14ac:dyDescent="0.25">
      <c r="A255" s="593"/>
      <c r="B255" s="593"/>
      <c r="C255" s="593"/>
      <c r="D255" s="653"/>
      <c r="E255" s="653"/>
      <c r="F255" s="653"/>
      <c r="G255" s="653"/>
      <c r="H255" s="593"/>
      <c r="I255" s="653"/>
      <c r="J255" s="653"/>
      <c r="K255" s="653"/>
      <c r="L255" s="658"/>
      <c r="M255" s="554"/>
      <c r="N255" s="554"/>
      <c r="O255" s="653"/>
      <c r="P255" s="593"/>
      <c r="Q255" s="593"/>
      <c r="R255" s="593"/>
      <c r="S255" s="593"/>
      <c r="T255" s="549"/>
      <c r="U255" s="653"/>
      <c r="V255" s="494"/>
      <c r="W255" s="494"/>
      <c r="X255" s="494"/>
      <c r="Y255" s="494"/>
    </row>
    <row r="256" spans="1:25" hidden="1" x14ac:dyDescent="0.25">
      <c r="A256" s="593"/>
      <c r="B256" s="593"/>
      <c r="C256" s="593"/>
      <c r="D256" s="653"/>
      <c r="E256" s="653"/>
      <c r="F256" s="653"/>
      <c r="G256" s="653"/>
      <c r="H256" s="593"/>
      <c r="I256" s="653"/>
      <c r="J256" s="653"/>
      <c r="K256" s="653"/>
      <c r="L256" s="658"/>
      <c r="M256" s="554"/>
      <c r="N256" s="554"/>
      <c r="O256" s="653"/>
      <c r="P256" s="593"/>
      <c r="Q256" s="593"/>
      <c r="R256" s="593"/>
      <c r="S256" s="593"/>
      <c r="T256" s="549"/>
      <c r="U256" s="653"/>
      <c r="V256" s="494"/>
      <c r="W256" s="494"/>
      <c r="X256" s="494"/>
      <c r="Y256" s="494"/>
    </row>
    <row r="257" spans="1:25" hidden="1" x14ac:dyDescent="0.25">
      <c r="A257" s="593"/>
      <c r="B257" s="593"/>
      <c r="C257" s="593"/>
      <c r="D257" s="653"/>
      <c r="E257" s="653"/>
      <c r="F257" s="653"/>
      <c r="G257" s="653"/>
      <c r="H257" s="593"/>
      <c r="I257" s="653"/>
      <c r="J257" s="653"/>
      <c r="K257" s="653"/>
      <c r="L257" s="658"/>
      <c r="M257" s="554"/>
      <c r="N257" s="554"/>
      <c r="O257" s="653"/>
      <c r="P257" s="593"/>
      <c r="Q257" s="593"/>
      <c r="R257" s="593"/>
      <c r="S257" s="593"/>
      <c r="T257" s="549"/>
      <c r="U257" s="653"/>
      <c r="V257" s="494"/>
      <c r="W257" s="494"/>
      <c r="X257" s="494"/>
      <c r="Y257" s="494"/>
    </row>
    <row r="258" spans="1:25" hidden="1" x14ac:dyDescent="0.25">
      <c r="A258" s="593"/>
      <c r="B258" s="593"/>
      <c r="C258" s="593"/>
      <c r="D258" s="653"/>
      <c r="E258" s="653"/>
      <c r="F258" s="653"/>
      <c r="G258" s="653"/>
      <c r="H258" s="593"/>
      <c r="I258" s="653"/>
      <c r="J258" s="653"/>
      <c r="K258" s="653"/>
      <c r="L258" s="658"/>
      <c r="M258" s="554"/>
      <c r="N258" s="554"/>
      <c r="O258" s="653"/>
      <c r="P258" s="593"/>
      <c r="Q258" s="593"/>
      <c r="R258" s="593"/>
      <c r="S258" s="593"/>
      <c r="T258" s="549"/>
      <c r="U258" s="653"/>
      <c r="V258" s="494"/>
      <c r="W258" s="494"/>
      <c r="X258" s="494"/>
      <c r="Y258" s="494"/>
    </row>
    <row r="259" spans="1:25" hidden="1" x14ac:dyDescent="0.25">
      <c r="A259" s="593"/>
      <c r="B259" s="593"/>
      <c r="C259" s="593"/>
      <c r="D259" s="653"/>
      <c r="E259" s="653"/>
      <c r="F259" s="653"/>
      <c r="G259" s="653"/>
      <c r="H259" s="593"/>
      <c r="I259" s="653"/>
      <c r="J259" s="653"/>
      <c r="K259" s="653"/>
      <c r="L259" s="658"/>
      <c r="M259" s="554"/>
      <c r="N259" s="554"/>
      <c r="O259" s="653"/>
      <c r="P259" s="593"/>
      <c r="Q259" s="593"/>
      <c r="R259" s="593"/>
      <c r="S259" s="593"/>
      <c r="T259" s="549"/>
      <c r="U259" s="653"/>
      <c r="V259" s="494"/>
      <c r="W259" s="494"/>
      <c r="X259" s="494"/>
      <c r="Y259" s="494"/>
    </row>
    <row r="260" spans="1:25" hidden="1" x14ac:dyDescent="0.25">
      <c r="A260" s="593"/>
      <c r="B260" s="593"/>
      <c r="C260" s="593"/>
      <c r="D260" s="653"/>
      <c r="E260" s="653"/>
      <c r="F260" s="653"/>
      <c r="G260" s="653"/>
      <c r="H260" s="593"/>
      <c r="I260" s="653"/>
      <c r="J260" s="653"/>
      <c r="K260" s="653"/>
      <c r="L260" s="658"/>
      <c r="M260" s="554"/>
      <c r="N260" s="554"/>
      <c r="O260" s="653"/>
      <c r="P260" s="593"/>
      <c r="Q260" s="593"/>
      <c r="R260" s="593"/>
      <c r="S260" s="593"/>
      <c r="T260" s="549"/>
      <c r="U260" s="653"/>
      <c r="V260" s="494"/>
      <c r="W260" s="494"/>
      <c r="X260" s="494"/>
      <c r="Y260" s="494"/>
    </row>
    <row r="261" spans="1:25" hidden="1" x14ac:dyDescent="0.25">
      <c r="A261" s="593"/>
      <c r="B261" s="593"/>
      <c r="C261" s="593"/>
      <c r="D261" s="653"/>
      <c r="E261" s="653"/>
      <c r="F261" s="653"/>
      <c r="G261" s="653"/>
      <c r="H261" s="593"/>
      <c r="I261" s="653"/>
      <c r="J261" s="653"/>
      <c r="K261" s="653"/>
      <c r="L261" s="658"/>
      <c r="M261" s="554"/>
      <c r="N261" s="554"/>
      <c r="O261" s="653"/>
      <c r="P261" s="593"/>
      <c r="Q261" s="593"/>
      <c r="R261" s="593"/>
      <c r="S261" s="593"/>
      <c r="T261" s="549"/>
      <c r="U261" s="653"/>
      <c r="V261" s="494"/>
      <c r="W261" s="494"/>
      <c r="X261" s="494"/>
      <c r="Y261" s="494"/>
    </row>
    <row r="262" spans="1:25" hidden="1" x14ac:dyDescent="0.25">
      <c r="A262" s="593"/>
      <c r="B262" s="593"/>
      <c r="C262" s="593"/>
      <c r="D262" s="653"/>
      <c r="E262" s="653"/>
      <c r="F262" s="653"/>
      <c r="G262" s="653"/>
      <c r="H262" s="593"/>
      <c r="I262" s="653"/>
      <c r="J262" s="653"/>
      <c r="K262" s="653"/>
      <c r="L262" s="658"/>
      <c r="M262" s="554"/>
      <c r="N262" s="554"/>
      <c r="O262" s="653"/>
      <c r="P262" s="593"/>
      <c r="Q262" s="593"/>
      <c r="R262" s="593"/>
      <c r="S262" s="593"/>
      <c r="T262" s="549"/>
      <c r="U262" s="653"/>
      <c r="V262" s="494"/>
      <c r="W262" s="494"/>
      <c r="X262" s="494"/>
      <c r="Y262" s="494"/>
    </row>
    <row r="263" spans="1:25" hidden="1" x14ac:dyDescent="0.25">
      <c r="A263" s="593"/>
      <c r="B263" s="593"/>
      <c r="C263" s="593"/>
      <c r="D263" s="653"/>
      <c r="E263" s="653"/>
      <c r="F263" s="653"/>
      <c r="G263" s="653"/>
      <c r="H263" s="593"/>
      <c r="I263" s="653"/>
      <c r="J263" s="653"/>
      <c r="K263" s="653"/>
      <c r="L263" s="658"/>
      <c r="M263" s="554"/>
      <c r="N263" s="554"/>
      <c r="O263" s="653"/>
      <c r="P263" s="593"/>
      <c r="Q263" s="593"/>
      <c r="R263" s="593"/>
      <c r="S263" s="593"/>
      <c r="T263" s="549"/>
      <c r="U263" s="653"/>
      <c r="V263" s="494"/>
      <c r="W263" s="494"/>
      <c r="X263" s="494"/>
      <c r="Y263" s="494"/>
    </row>
    <row r="264" spans="1:25" hidden="1" x14ac:dyDescent="0.25">
      <c r="A264" s="593"/>
      <c r="B264" s="593"/>
      <c r="C264" s="593"/>
      <c r="D264" s="653"/>
      <c r="E264" s="653"/>
      <c r="F264" s="653"/>
      <c r="G264" s="653"/>
      <c r="H264" s="593"/>
      <c r="I264" s="653"/>
      <c r="J264" s="653"/>
      <c r="K264" s="653"/>
      <c r="L264" s="658"/>
      <c r="M264" s="554"/>
      <c r="N264" s="554"/>
      <c r="O264" s="653"/>
      <c r="P264" s="593"/>
      <c r="Q264" s="593"/>
      <c r="R264" s="593"/>
      <c r="S264" s="593"/>
      <c r="T264" s="549"/>
      <c r="U264" s="653"/>
      <c r="V264" s="494"/>
      <c r="W264" s="494"/>
      <c r="X264" s="494"/>
      <c r="Y264" s="494"/>
    </row>
    <row r="265" spans="1:25" hidden="1" x14ac:dyDescent="0.25">
      <c r="A265" s="593"/>
      <c r="B265" s="593"/>
      <c r="C265" s="593"/>
      <c r="D265" s="653"/>
      <c r="E265" s="653"/>
      <c r="F265" s="653"/>
      <c r="G265" s="653"/>
      <c r="H265" s="593"/>
      <c r="I265" s="653"/>
      <c r="J265" s="653"/>
      <c r="K265" s="653"/>
      <c r="L265" s="658"/>
      <c r="M265" s="554"/>
      <c r="N265" s="554"/>
      <c r="O265" s="653"/>
      <c r="P265" s="593"/>
      <c r="Q265" s="593"/>
      <c r="R265" s="593"/>
      <c r="S265" s="593"/>
      <c r="T265" s="549"/>
      <c r="U265" s="653"/>
      <c r="V265" s="494"/>
      <c r="W265" s="494"/>
      <c r="X265" s="494"/>
      <c r="Y265" s="494"/>
    </row>
    <row r="266" spans="1:25" hidden="1" x14ac:dyDescent="0.25">
      <c r="A266" s="593"/>
      <c r="B266" s="593"/>
      <c r="C266" s="593"/>
      <c r="D266" s="653"/>
      <c r="E266" s="653"/>
      <c r="F266" s="653"/>
      <c r="G266" s="653"/>
      <c r="H266" s="593"/>
      <c r="I266" s="653"/>
      <c r="J266" s="653"/>
      <c r="K266" s="653"/>
      <c r="L266" s="658"/>
      <c r="M266" s="554"/>
      <c r="N266" s="554"/>
      <c r="O266" s="653"/>
      <c r="P266" s="593"/>
      <c r="Q266" s="593"/>
      <c r="R266" s="593"/>
      <c r="S266" s="593"/>
      <c r="T266" s="549"/>
      <c r="U266" s="653"/>
      <c r="V266" s="494"/>
      <c r="W266" s="494"/>
      <c r="X266" s="494"/>
      <c r="Y266" s="494"/>
    </row>
    <row r="267" spans="1:25" hidden="1" x14ac:dyDescent="0.25">
      <c r="A267" s="593"/>
      <c r="B267" s="593"/>
      <c r="C267" s="593"/>
      <c r="D267" s="653"/>
      <c r="E267" s="653"/>
      <c r="F267" s="653"/>
      <c r="G267" s="653"/>
      <c r="H267" s="593"/>
      <c r="I267" s="653"/>
      <c r="J267" s="653"/>
      <c r="K267" s="653"/>
      <c r="L267" s="658"/>
      <c r="M267" s="554"/>
      <c r="N267" s="554"/>
      <c r="O267" s="653"/>
      <c r="P267" s="593"/>
      <c r="Q267" s="593"/>
      <c r="R267" s="593"/>
      <c r="S267" s="593"/>
      <c r="T267" s="549"/>
      <c r="U267" s="653"/>
      <c r="V267" s="494"/>
      <c r="W267" s="494"/>
      <c r="X267" s="494"/>
      <c r="Y267" s="494"/>
    </row>
    <row r="268" spans="1:25" hidden="1" x14ac:dyDescent="0.25">
      <c r="A268" s="593"/>
      <c r="B268" s="593"/>
      <c r="C268" s="593"/>
      <c r="D268" s="653"/>
      <c r="E268" s="653"/>
      <c r="F268" s="653"/>
      <c r="G268" s="653"/>
      <c r="H268" s="593"/>
      <c r="I268" s="653"/>
      <c r="J268" s="653"/>
      <c r="K268" s="653"/>
      <c r="L268" s="658"/>
      <c r="M268" s="554"/>
      <c r="N268" s="554"/>
      <c r="O268" s="653"/>
      <c r="P268" s="593"/>
      <c r="Q268" s="593"/>
      <c r="R268" s="593"/>
      <c r="S268" s="593"/>
      <c r="T268" s="549"/>
      <c r="U268" s="653"/>
      <c r="V268" s="494"/>
      <c r="W268" s="494"/>
      <c r="X268" s="494"/>
      <c r="Y268" s="494"/>
    </row>
    <row r="269" spans="1:25" hidden="1" x14ac:dyDescent="0.25">
      <c r="A269" s="593"/>
      <c r="B269" s="593"/>
      <c r="C269" s="593"/>
      <c r="D269" s="653"/>
      <c r="E269" s="653"/>
      <c r="F269" s="653"/>
      <c r="G269" s="653"/>
      <c r="H269" s="593"/>
      <c r="I269" s="653"/>
      <c r="J269" s="653"/>
      <c r="K269" s="653"/>
      <c r="L269" s="658"/>
      <c r="M269" s="554"/>
      <c r="N269" s="554"/>
      <c r="O269" s="653"/>
      <c r="P269" s="593"/>
      <c r="Q269" s="593"/>
      <c r="R269" s="593"/>
      <c r="S269" s="593"/>
      <c r="T269" s="549"/>
      <c r="U269" s="653"/>
      <c r="V269" s="494"/>
      <c r="W269" s="494"/>
      <c r="X269" s="494"/>
      <c r="Y269" s="494"/>
    </row>
    <row r="270" spans="1:25" hidden="1" x14ac:dyDescent="0.25">
      <c r="A270" s="593"/>
      <c r="B270" s="593"/>
      <c r="C270" s="593"/>
      <c r="D270" s="653"/>
      <c r="E270" s="653"/>
      <c r="F270" s="653"/>
      <c r="G270" s="653"/>
      <c r="H270" s="593"/>
      <c r="I270" s="653"/>
      <c r="J270" s="653"/>
      <c r="K270" s="653"/>
      <c r="L270" s="658"/>
      <c r="M270" s="554"/>
      <c r="N270" s="554"/>
      <c r="O270" s="653"/>
      <c r="P270" s="593"/>
      <c r="Q270" s="593"/>
      <c r="R270" s="593"/>
      <c r="S270" s="593"/>
      <c r="T270" s="549"/>
      <c r="U270" s="653"/>
      <c r="V270" s="494"/>
      <c r="W270" s="494"/>
      <c r="X270" s="494"/>
      <c r="Y270" s="494"/>
    </row>
    <row r="271" spans="1:25" hidden="1" x14ac:dyDescent="0.25">
      <c r="A271" s="593"/>
      <c r="B271" s="593"/>
      <c r="C271" s="593"/>
      <c r="D271" s="653"/>
      <c r="E271" s="653"/>
      <c r="F271" s="653"/>
      <c r="G271" s="653"/>
      <c r="H271" s="593"/>
      <c r="I271" s="653"/>
      <c r="J271" s="653"/>
      <c r="K271" s="653"/>
      <c r="L271" s="658"/>
      <c r="M271" s="554"/>
      <c r="N271" s="554"/>
      <c r="O271" s="653"/>
      <c r="P271" s="593"/>
      <c r="Q271" s="593"/>
      <c r="R271" s="593"/>
      <c r="S271" s="593"/>
      <c r="T271" s="549"/>
      <c r="U271" s="653"/>
      <c r="V271" s="494"/>
      <c r="W271" s="494"/>
      <c r="X271" s="494"/>
      <c r="Y271" s="494"/>
    </row>
    <row r="272" spans="1:25" hidden="1" x14ac:dyDescent="0.25">
      <c r="A272" s="593"/>
      <c r="B272" s="593"/>
      <c r="C272" s="593"/>
      <c r="D272" s="653"/>
      <c r="E272" s="653"/>
      <c r="F272" s="653"/>
      <c r="G272" s="653"/>
      <c r="H272" s="593"/>
      <c r="I272" s="653"/>
      <c r="J272" s="653"/>
      <c r="K272" s="653"/>
      <c r="L272" s="658"/>
      <c r="M272" s="554"/>
      <c r="N272" s="554"/>
      <c r="O272" s="653"/>
      <c r="P272" s="593"/>
      <c r="Q272" s="593"/>
      <c r="R272" s="593"/>
      <c r="S272" s="593"/>
      <c r="T272" s="549"/>
      <c r="U272" s="653"/>
      <c r="V272" s="494"/>
      <c r="W272" s="494"/>
      <c r="X272" s="494"/>
      <c r="Y272" s="494"/>
    </row>
    <row r="273" spans="1:25" hidden="1" x14ac:dyDescent="0.25">
      <c r="A273" s="593"/>
      <c r="B273" s="593"/>
      <c r="C273" s="593"/>
      <c r="D273" s="653"/>
      <c r="E273" s="653"/>
      <c r="F273" s="653"/>
      <c r="G273" s="653"/>
      <c r="H273" s="593"/>
      <c r="I273" s="653"/>
      <c r="J273" s="653"/>
      <c r="K273" s="653"/>
      <c r="L273" s="658"/>
      <c r="M273" s="554"/>
      <c r="N273" s="554"/>
      <c r="O273" s="653"/>
      <c r="P273" s="593"/>
      <c r="Q273" s="593"/>
      <c r="R273" s="593"/>
      <c r="S273" s="593"/>
      <c r="T273" s="549"/>
      <c r="U273" s="653"/>
      <c r="V273" s="494"/>
      <c r="W273" s="494"/>
      <c r="X273" s="494"/>
      <c r="Y273" s="494"/>
    </row>
    <row r="274" spans="1:25" hidden="1" x14ac:dyDescent="0.25">
      <c r="A274" s="593"/>
      <c r="B274" s="593"/>
      <c r="C274" s="593"/>
      <c r="D274" s="653"/>
      <c r="E274" s="653"/>
      <c r="F274" s="653"/>
      <c r="G274" s="653"/>
      <c r="H274" s="593"/>
      <c r="I274" s="653"/>
      <c r="J274" s="653"/>
      <c r="K274" s="653"/>
      <c r="L274" s="658"/>
      <c r="M274" s="554"/>
      <c r="N274" s="554"/>
      <c r="O274" s="653"/>
      <c r="P274" s="593"/>
      <c r="Q274" s="593"/>
      <c r="R274" s="593"/>
      <c r="S274" s="593"/>
      <c r="T274" s="549"/>
      <c r="U274" s="653"/>
      <c r="V274" s="494"/>
      <c r="W274" s="494"/>
      <c r="X274" s="494"/>
      <c r="Y274" s="494"/>
    </row>
    <row r="275" spans="1:25" hidden="1" x14ac:dyDescent="0.25">
      <c r="A275" s="593"/>
      <c r="B275" s="593"/>
      <c r="C275" s="593"/>
      <c r="D275" s="653"/>
      <c r="E275" s="653"/>
      <c r="F275" s="653"/>
      <c r="G275" s="653"/>
      <c r="H275" s="593"/>
      <c r="I275" s="653"/>
      <c r="J275" s="653"/>
      <c r="K275" s="653"/>
      <c r="L275" s="658"/>
      <c r="M275" s="554"/>
      <c r="N275" s="554"/>
      <c r="O275" s="653"/>
      <c r="P275" s="593"/>
      <c r="Q275" s="593"/>
      <c r="R275" s="593"/>
      <c r="S275" s="593"/>
      <c r="T275" s="549"/>
      <c r="U275" s="653"/>
      <c r="V275" s="494"/>
      <c r="W275" s="494"/>
      <c r="X275" s="494"/>
      <c r="Y275" s="494"/>
    </row>
    <row r="276" spans="1:25" hidden="1" x14ac:dyDescent="0.25">
      <c r="A276" s="593"/>
      <c r="B276" s="593"/>
      <c r="C276" s="593"/>
      <c r="D276" s="653"/>
      <c r="E276" s="653"/>
      <c r="F276" s="653"/>
      <c r="G276" s="653"/>
      <c r="H276" s="593"/>
      <c r="I276" s="653"/>
      <c r="J276" s="653"/>
      <c r="K276" s="653"/>
      <c r="L276" s="658"/>
      <c r="M276" s="554"/>
      <c r="N276" s="554"/>
      <c r="O276" s="653"/>
      <c r="P276" s="593"/>
      <c r="Q276" s="593"/>
      <c r="R276" s="593"/>
      <c r="S276" s="593"/>
      <c r="T276" s="549"/>
      <c r="U276" s="653"/>
      <c r="V276" s="494"/>
      <c r="W276" s="494"/>
      <c r="X276" s="494"/>
      <c r="Y276" s="494"/>
    </row>
    <row r="277" spans="1:25" hidden="1" x14ac:dyDescent="0.25">
      <c r="A277" s="593"/>
      <c r="B277" s="593"/>
      <c r="C277" s="593"/>
      <c r="D277" s="653"/>
      <c r="E277" s="653"/>
      <c r="F277" s="653"/>
      <c r="G277" s="653"/>
      <c r="H277" s="593"/>
      <c r="I277" s="653"/>
      <c r="J277" s="653"/>
      <c r="K277" s="653"/>
      <c r="L277" s="658"/>
      <c r="M277" s="554"/>
      <c r="N277" s="554"/>
      <c r="O277" s="653"/>
      <c r="P277" s="593"/>
      <c r="Q277" s="593"/>
      <c r="R277" s="593"/>
      <c r="S277" s="593"/>
      <c r="T277" s="549"/>
      <c r="U277" s="653"/>
      <c r="V277" s="494"/>
      <c r="W277" s="494"/>
      <c r="X277" s="494"/>
      <c r="Y277" s="494"/>
    </row>
    <row r="278" spans="1:25" hidden="1" x14ac:dyDescent="0.25">
      <c r="A278" s="593"/>
      <c r="B278" s="593"/>
      <c r="C278" s="593"/>
      <c r="D278" s="653"/>
      <c r="E278" s="653"/>
      <c r="F278" s="653"/>
      <c r="G278" s="653"/>
      <c r="H278" s="593"/>
      <c r="I278" s="653"/>
      <c r="J278" s="653"/>
      <c r="K278" s="653"/>
      <c r="L278" s="658"/>
      <c r="M278" s="554"/>
      <c r="N278" s="554"/>
      <c r="O278" s="653"/>
      <c r="P278" s="593"/>
      <c r="Q278" s="593"/>
      <c r="R278" s="593"/>
      <c r="S278" s="593"/>
      <c r="T278" s="549"/>
      <c r="U278" s="653"/>
      <c r="V278" s="494"/>
      <c r="W278" s="494"/>
      <c r="X278" s="494"/>
      <c r="Y278" s="494"/>
    </row>
    <row r="279" spans="1:25" hidden="1" x14ac:dyDescent="0.25">
      <c r="A279" s="593"/>
      <c r="B279" s="593"/>
      <c r="C279" s="593"/>
      <c r="D279" s="653"/>
      <c r="E279" s="653"/>
      <c r="F279" s="653"/>
      <c r="G279" s="653"/>
      <c r="H279" s="593"/>
      <c r="I279" s="653"/>
      <c r="J279" s="653"/>
      <c r="K279" s="653"/>
      <c r="L279" s="658"/>
      <c r="M279" s="554"/>
      <c r="N279" s="554"/>
      <c r="O279" s="653"/>
      <c r="P279" s="593"/>
      <c r="Q279" s="593"/>
      <c r="R279" s="593"/>
      <c r="S279" s="593"/>
      <c r="T279" s="549"/>
      <c r="U279" s="653"/>
      <c r="V279" s="494"/>
      <c r="W279" s="494"/>
      <c r="X279" s="494"/>
      <c r="Y279" s="494"/>
    </row>
    <row r="280" spans="1:25" hidden="1" x14ac:dyDescent="0.25">
      <c r="A280" s="593"/>
      <c r="B280" s="593"/>
      <c r="C280" s="593"/>
      <c r="D280" s="653"/>
      <c r="E280" s="653"/>
      <c r="F280" s="653"/>
      <c r="G280" s="653"/>
      <c r="H280" s="593"/>
      <c r="I280" s="653"/>
      <c r="J280" s="653"/>
      <c r="K280" s="653"/>
      <c r="L280" s="658"/>
      <c r="M280" s="554"/>
      <c r="N280" s="554"/>
      <c r="O280" s="653"/>
      <c r="P280" s="593"/>
      <c r="Q280" s="593"/>
      <c r="R280" s="593"/>
      <c r="S280" s="593"/>
      <c r="T280" s="549"/>
      <c r="U280" s="653"/>
      <c r="V280" s="494"/>
      <c r="W280" s="494"/>
      <c r="X280" s="494"/>
      <c r="Y280" s="494"/>
    </row>
    <row r="281" spans="1:25" hidden="1" x14ac:dyDescent="0.25">
      <c r="A281" s="593"/>
      <c r="B281" s="593"/>
      <c r="C281" s="593"/>
      <c r="D281" s="653"/>
      <c r="E281" s="653"/>
      <c r="F281" s="653"/>
      <c r="G281" s="653"/>
      <c r="H281" s="593"/>
      <c r="I281" s="653"/>
      <c r="J281" s="653"/>
      <c r="K281" s="653"/>
      <c r="L281" s="658"/>
      <c r="M281" s="554"/>
      <c r="N281" s="554"/>
      <c r="O281" s="653"/>
      <c r="P281" s="593"/>
      <c r="Q281" s="593"/>
      <c r="R281" s="593"/>
      <c r="S281" s="593"/>
      <c r="T281" s="549"/>
      <c r="U281" s="653"/>
      <c r="V281" s="494"/>
      <c r="W281" s="494"/>
      <c r="X281" s="494"/>
      <c r="Y281" s="494"/>
    </row>
    <row r="282" spans="1:25" hidden="1" x14ac:dyDescent="0.25">
      <c r="A282" s="593"/>
      <c r="B282" s="593"/>
      <c r="C282" s="593"/>
      <c r="D282" s="653"/>
      <c r="E282" s="653"/>
      <c r="F282" s="653"/>
      <c r="G282" s="653"/>
      <c r="H282" s="593"/>
      <c r="I282" s="653"/>
      <c r="J282" s="653"/>
      <c r="K282" s="653"/>
      <c r="L282" s="658"/>
      <c r="M282" s="554"/>
      <c r="N282" s="554"/>
      <c r="O282" s="653"/>
      <c r="P282" s="593"/>
      <c r="Q282" s="593"/>
      <c r="R282" s="593"/>
      <c r="S282" s="593"/>
      <c r="T282" s="549"/>
      <c r="U282" s="653"/>
      <c r="V282" s="494"/>
      <c r="W282" s="494"/>
      <c r="X282" s="494"/>
      <c r="Y282" s="494"/>
    </row>
    <row r="283" spans="1:25" hidden="1" x14ac:dyDescent="0.25">
      <c r="A283" s="593"/>
      <c r="B283" s="593"/>
      <c r="C283" s="593"/>
      <c r="D283" s="653"/>
      <c r="E283" s="653"/>
      <c r="F283" s="653"/>
      <c r="G283" s="653"/>
      <c r="H283" s="593"/>
      <c r="I283" s="653"/>
      <c r="J283" s="653"/>
      <c r="K283" s="653"/>
      <c r="L283" s="658"/>
      <c r="M283" s="554"/>
      <c r="N283" s="554"/>
      <c r="O283" s="653"/>
      <c r="P283" s="593"/>
      <c r="Q283" s="593"/>
      <c r="R283" s="593"/>
      <c r="S283" s="593"/>
      <c r="T283" s="549"/>
      <c r="U283" s="653"/>
      <c r="V283" s="494"/>
      <c r="W283" s="494"/>
      <c r="X283" s="494"/>
      <c r="Y283" s="494"/>
    </row>
    <row r="284" spans="1:25" hidden="1" x14ac:dyDescent="0.25">
      <c r="A284" s="593"/>
      <c r="B284" s="593"/>
      <c r="C284" s="593"/>
      <c r="D284" s="653"/>
      <c r="E284" s="653"/>
      <c r="F284" s="653"/>
      <c r="G284" s="653"/>
      <c r="H284" s="593"/>
      <c r="I284" s="653"/>
      <c r="J284" s="653"/>
      <c r="K284" s="653"/>
      <c r="L284" s="658"/>
      <c r="M284" s="554"/>
      <c r="N284" s="554"/>
      <c r="O284" s="653"/>
      <c r="P284" s="593"/>
      <c r="Q284" s="593"/>
      <c r="R284" s="593"/>
      <c r="S284" s="593"/>
      <c r="T284" s="549"/>
      <c r="U284" s="653"/>
      <c r="V284" s="494"/>
      <c r="W284" s="494"/>
      <c r="X284" s="494"/>
      <c r="Y284" s="494"/>
    </row>
    <row r="285" spans="1:25" hidden="1" x14ac:dyDescent="0.25">
      <c r="A285" s="593"/>
      <c r="B285" s="593"/>
      <c r="C285" s="593"/>
      <c r="D285" s="653"/>
      <c r="E285" s="653"/>
      <c r="F285" s="653"/>
      <c r="G285" s="653"/>
      <c r="H285" s="593"/>
      <c r="I285" s="653"/>
      <c r="J285" s="653"/>
      <c r="K285" s="653"/>
      <c r="L285" s="658"/>
      <c r="M285" s="554"/>
      <c r="N285" s="554"/>
      <c r="O285" s="653"/>
      <c r="P285" s="593"/>
      <c r="Q285" s="593"/>
      <c r="R285" s="593"/>
      <c r="S285" s="593"/>
      <c r="T285" s="549"/>
      <c r="U285" s="653"/>
      <c r="V285" s="494"/>
      <c r="W285" s="494"/>
      <c r="X285" s="494"/>
      <c r="Y285" s="494"/>
    </row>
    <row r="286" spans="1:25" hidden="1" x14ac:dyDescent="0.25">
      <c r="A286" s="593"/>
      <c r="B286" s="593"/>
      <c r="C286" s="593"/>
      <c r="D286" s="653"/>
      <c r="E286" s="653"/>
      <c r="F286" s="653"/>
      <c r="G286" s="653"/>
      <c r="H286" s="593"/>
      <c r="I286" s="653"/>
      <c r="J286" s="653"/>
      <c r="K286" s="653"/>
      <c r="L286" s="658"/>
      <c r="M286" s="554"/>
      <c r="N286" s="554"/>
      <c r="O286" s="653"/>
      <c r="P286" s="593"/>
      <c r="Q286" s="593"/>
      <c r="R286" s="593"/>
      <c r="S286" s="593"/>
      <c r="T286" s="549"/>
      <c r="U286" s="653"/>
      <c r="V286" s="494"/>
      <c r="W286" s="494"/>
      <c r="X286" s="494"/>
      <c r="Y286" s="494"/>
    </row>
    <row r="287" spans="1:25" hidden="1" x14ac:dyDescent="0.25">
      <c r="A287" s="593"/>
      <c r="B287" s="593"/>
      <c r="C287" s="593"/>
      <c r="D287" s="653"/>
      <c r="E287" s="653"/>
      <c r="F287" s="653"/>
      <c r="G287" s="653"/>
      <c r="H287" s="593"/>
      <c r="I287" s="653"/>
      <c r="J287" s="653"/>
      <c r="K287" s="653"/>
      <c r="L287" s="658"/>
      <c r="M287" s="554"/>
      <c r="N287" s="554"/>
      <c r="O287" s="653"/>
      <c r="P287" s="593"/>
      <c r="Q287" s="593"/>
      <c r="R287" s="593"/>
      <c r="S287" s="593"/>
      <c r="T287" s="549"/>
      <c r="U287" s="653"/>
      <c r="V287" s="494"/>
      <c r="W287" s="494"/>
      <c r="X287" s="494"/>
      <c r="Y287" s="494"/>
    </row>
    <row r="288" spans="1:25" hidden="1" x14ac:dyDescent="0.25">
      <c r="A288" s="593"/>
      <c r="B288" s="593"/>
      <c r="C288" s="593"/>
      <c r="D288" s="653"/>
      <c r="E288" s="653"/>
      <c r="F288" s="653"/>
      <c r="G288" s="653"/>
      <c r="H288" s="593"/>
      <c r="I288" s="653"/>
      <c r="J288" s="653"/>
      <c r="K288" s="653"/>
      <c r="L288" s="658"/>
      <c r="M288" s="554"/>
      <c r="N288" s="554"/>
      <c r="O288" s="653"/>
      <c r="P288" s="593"/>
      <c r="Q288" s="593"/>
      <c r="R288" s="593"/>
      <c r="S288" s="593"/>
      <c r="T288" s="549"/>
      <c r="U288" s="653"/>
      <c r="V288" s="494"/>
      <c r="W288" s="494"/>
      <c r="X288" s="494"/>
      <c r="Y288" s="494"/>
    </row>
    <row r="289" spans="1:25" hidden="1" x14ac:dyDescent="0.25">
      <c r="A289" s="593"/>
      <c r="B289" s="593"/>
      <c r="C289" s="593"/>
      <c r="D289" s="653"/>
      <c r="E289" s="653"/>
      <c r="F289" s="653"/>
      <c r="G289" s="653"/>
      <c r="H289" s="593"/>
      <c r="I289" s="653"/>
      <c r="J289" s="653"/>
      <c r="K289" s="653"/>
      <c r="L289" s="658"/>
      <c r="M289" s="554"/>
      <c r="N289" s="554"/>
      <c r="O289" s="653"/>
      <c r="P289" s="593"/>
      <c r="Q289" s="593"/>
      <c r="R289" s="593"/>
      <c r="S289" s="593"/>
      <c r="T289" s="549"/>
      <c r="U289" s="653"/>
      <c r="V289" s="494"/>
      <c r="W289" s="494"/>
      <c r="X289" s="494"/>
      <c r="Y289" s="494"/>
    </row>
    <row r="290" spans="1:25" hidden="1" x14ac:dyDescent="0.25">
      <c r="A290" s="593"/>
      <c r="B290" s="593"/>
      <c r="C290" s="593"/>
      <c r="D290" s="653"/>
      <c r="E290" s="653"/>
      <c r="F290" s="653"/>
      <c r="G290" s="653"/>
      <c r="H290" s="593"/>
      <c r="I290" s="653"/>
      <c r="J290" s="653"/>
      <c r="K290" s="653"/>
      <c r="L290" s="658"/>
      <c r="M290" s="554"/>
      <c r="N290" s="554"/>
      <c r="O290" s="653"/>
      <c r="P290" s="593"/>
      <c r="Q290" s="593"/>
      <c r="R290" s="593"/>
      <c r="S290" s="593"/>
      <c r="T290" s="549"/>
      <c r="U290" s="653"/>
      <c r="V290" s="494"/>
      <c r="W290" s="494"/>
      <c r="X290" s="494"/>
      <c r="Y290" s="494"/>
    </row>
    <row r="291" spans="1:25" x14ac:dyDescent="0.25">
      <c r="A291" s="593"/>
      <c r="B291" s="593"/>
      <c r="C291" s="593"/>
      <c r="D291" s="653"/>
      <c r="E291" s="653"/>
      <c r="F291" s="653"/>
      <c r="G291" s="653"/>
      <c r="H291" s="593"/>
      <c r="I291" s="653"/>
      <c r="J291" s="653"/>
      <c r="K291" s="653"/>
      <c r="L291" s="658"/>
      <c r="M291" s="554"/>
      <c r="N291" s="554"/>
      <c r="O291" s="653"/>
      <c r="P291" s="593"/>
      <c r="Q291" s="593"/>
      <c r="R291" s="593"/>
      <c r="S291" s="593"/>
      <c r="T291" s="549"/>
      <c r="U291" s="653"/>
      <c r="V291" s="494"/>
      <c r="W291" s="494"/>
      <c r="X291" s="494"/>
      <c r="Y291" s="494"/>
    </row>
    <row r="292" spans="1:25" x14ac:dyDescent="0.25">
      <c r="A292" s="15"/>
      <c r="B292" s="15"/>
      <c r="C292" s="15"/>
      <c r="D292" s="16"/>
      <c r="H292" s="15"/>
      <c r="L292" s="484"/>
      <c r="M292" s="550"/>
      <c r="N292" s="550"/>
      <c r="P292" s="15"/>
      <c r="Q292" s="15"/>
      <c r="R292" s="15"/>
      <c r="S292" s="15"/>
      <c r="T292" s="545"/>
    </row>
    <row r="293" spans="1:25" x14ac:dyDescent="0.25">
      <c r="A293" s="15"/>
      <c r="B293" s="15"/>
      <c r="C293" s="15"/>
      <c r="D293" s="16"/>
      <c r="H293" s="15"/>
      <c r="L293" s="484"/>
      <c r="M293" s="550"/>
      <c r="N293" s="550"/>
      <c r="P293" s="15"/>
      <c r="Q293" s="15"/>
      <c r="R293" s="15"/>
      <c r="S293" s="15"/>
      <c r="T293" s="545"/>
    </row>
    <row r="294" spans="1:25" x14ac:dyDescent="0.25">
      <c r="A294" s="15"/>
      <c r="B294" s="15"/>
      <c r="C294" s="15"/>
      <c r="D294" s="16"/>
      <c r="H294" s="15"/>
      <c r="L294" s="484"/>
      <c r="M294" s="550"/>
      <c r="N294" s="550"/>
      <c r="P294" s="15"/>
      <c r="Q294" s="15"/>
      <c r="R294" s="15"/>
      <c r="S294" s="15"/>
      <c r="T294" s="545"/>
    </row>
    <row r="295" spans="1:25" x14ac:dyDescent="0.25">
      <c r="A295" s="15"/>
      <c r="B295" s="15"/>
      <c r="C295" s="15"/>
      <c r="D295" s="16"/>
      <c r="H295" s="15"/>
      <c r="L295" s="484"/>
      <c r="M295" s="550"/>
      <c r="N295" s="550"/>
      <c r="P295" s="15"/>
      <c r="Q295" s="15"/>
      <c r="R295" s="15"/>
      <c r="S295" s="15"/>
      <c r="T295" s="545"/>
    </row>
    <row r="296" spans="1:25" x14ac:dyDescent="0.25">
      <c r="A296" s="15"/>
      <c r="B296" s="15"/>
      <c r="C296" s="15"/>
      <c r="D296" s="16"/>
      <c r="H296" s="15"/>
      <c r="L296" s="484"/>
      <c r="M296" s="550"/>
      <c r="N296" s="550"/>
      <c r="P296" s="15"/>
      <c r="Q296" s="15"/>
      <c r="R296" s="15"/>
      <c r="S296" s="15"/>
      <c r="T296" s="545"/>
    </row>
    <row r="297" spans="1:25" x14ac:dyDescent="0.25">
      <c r="A297" s="15"/>
      <c r="B297" s="15"/>
      <c r="C297" s="15"/>
      <c r="D297" s="16"/>
      <c r="H297" s="15"/>
      <c r="L297" s="484"/>
      <c r="M297" s="550"/>
      <c r="N297" s="550"/>
      <c r="P297" s="15"/>
      <c r="Q297" s="15"/>
      <c r="R297" s="15"/>
      <c r="S297" s="15"/>
      <c r="T297" s="545"/>
    </row>
    <row r="298" spans="1:25" x14ac:dyDescent="0.25">
      <c r="A298" s="15"/>
      <c r="B298" s="15"/>
      <c r="C298" s="15"/>
      <c r="D298" s="16"/>
      <c r="H298" s="15"/>
      <c r="L298" s="484"/>
      <c r="M298" s="550"/>
      <c r="N298" s="550"/>
      <c r="P298" s="15"/>
      <c r="Q298" s="15"/>
      <c r="R298" s="15"/>
      <c r="S298" s="15"/>
      <c r="T298" s="545"/>
    </row>
    <row r="299" spans="1:25" x14ac:dyDescent="0.25">
      <c r="A299" s="15"/>
      <c r="B299" s="15"/>
      <c r="C299" s="15"/>
      <c r="D299" s="16"/>
      <c r="H299" s="15"/>
      <c r="L299" s="484"/>
      <c r="M299" s="550"/>
      <c r="N299" s="550"/>
      <c r="P299" s="15"/>
      <c r="Q299" s="15"/>
      <c r="R299" s="15"/>
      <c r="S299" s="15"/>
      <c r="T299" s="545"/>
    </row>
    <row r="300" spans="1:25" x14ac:dyDescent="0.25">
      <c r="A300" s="15"/>
      <c r="B300" s="15"/>
      <c r="C300" s="15"/>
      <c r="D300" s="16"/>
      <c r="H300" s="15"/>
      <c r="L300" s="484"/>
      <c r="M300" s="550"/>
      <c r="N300" s="550"/>
      <c r="P300" s="15"/>
      <c r="Q300" s="15"/>
      <c r="R300" s="15"/>
      <c r="S300" s="15"/>
      <c r="T300" s="545"/>
    </row>
    <row r="301" spans="1:25" x14ac:dyDescent="0.25">
      <c r="A301" s="15"/>
      <c r="B301" s="15"/>
      <c r="C301" s="15"/>
      <c r="D301" s="16"/>
      <c r="H301" s="15"/>
      <c r="L301" s="484"/>
      <c r="M301" s="550"/>
      <c r="N301" s="550"/>
      <c r="P301" s="15"/>
      <c r="Q301" s="15"/>
      <c r="R301" s="15"/>
      <c r="S301" s="15"/>
      <c r="T301" s="545"/>
    </row>
    <row r="302" spans="1:25" x14ac:dyDescent="0.25">
      <c r="A302" s="15"/>
      <c r="B302" s="15"/>
      <c r="C302" s="15"/>
      <c r="D302" s="16"/>
      <c r="H302" s="15"/>
      <c r="L302" s="484"/>
      <c r="M302" s="550"/>
      <c r="N302" s="550"/>
      <c r="P302" s="15"/>
      <c r="Q302" s="15"/>
      <c r="R302" s="15"/>
      <c r="S302" s="15"/>
      <c r="T302" s="545"/>
    </row>
    <row r="303" spans="1:25" x14ac:dyDescent="0.25">
      <c r="A303" s="15"/>
      <c r="B303" s="15"/>
      <c r="C303" s="15"/>
      <c r="D303" s="16"/>
      <c r="H303" s="15"/>
      <c r="L303" s="484"/>
      <c r="M303" s="550"/>
      <c r="N303" s="550"/>
      <c r="P303" s="15"/>
      <c r="Q303" s="15"/>
      <c r="R303" s="15"/>
      <c r="S303" s="15"/>
      <c r="T303" s="545"/>
    </row>
    <row r="304" spans="1:25" x14ac:dyDescent="0.25">
      <c r="A304" s="15"/>
      <c r="B304" s="15"/>
      <c r="C304" s="15"/>
      <c r="D304" s="16"/>
      <c r="H304" s="15"/>
      <c r="L304" s="484"/>
      <c r="M304" s="550"/>
      <c r="N304" s="550"/>
      <c r="P304" s="15"/>
      <c r="Q304" s="15"/>
      <c r="R304" s="15"/>
      <c r="S304" s="15"/>
      <c r="T304" s="545"/>
    </row>
    <row r="305" spans="1:20" x14ac:dyDescent="0.25">
      <c r="A305" s="15"/>
      <c r="B305" s="15"/>
      <c r="C305" s="15"/>
      <c r="D305" s="16"/>
      <c r="H305" s="15"/>
      <c r="L305" s="484"/>
      <c r="M305" s="550"/>
      <c r="N305" s="550"/>
      <c r="P305" s="15"/>
      <c r="Q305" s="15"/>
      <c r="R305" s="15"/>
      <c r="S305" s="15"/>
      <c r="T305" s="545"/>
    </row>
    <row r="306" spans="1:20" x14ac:dyDescent="0.25">
      <c r="A306" s="15"/>
      <c r="B306" s="15"/>
      <c r="C306" s="15"/>
      <c r="D306" s="16"/>
      <c r="H306" s="15"/>
      <c r="L306" s="484"/>
      <c r="M306" s="550"/>
      <c r="N306" s="550"/>
      <c r="P306" s="15"/>
      <c r="Q306" s="15"/>
      <c r="R306" s="15"/>
      <c r="S306" s="15"/>
      <c r="T306" s="545"/>
    </row>
    <row r="307" spans="1:20" x14ac:dyDescent="0.25">
      <c r="A307" s="15"/>
      <c r="B307" s="15"/>
      <c r="C307" s="15"/>
      <c r="D307" s="16"/>
      <c r="H307" s="15"/>
      <c r="L307" s="484"/>
      <c r="M307" s="550"/>
      <c r="N307" s="550"/>
      <c r="P307" s="15"/>
      <c r="Q307" s="15"/>
      <c r="R307" s="15"/>
      <c r="S307" s="15"/>
      <c r="T307" s="545"/>
    </row>
    <row r="308" spans="1:20" x14ac:dyDescent="0.25">
      <c r="A308" s="15"/>
      <c r="B308" s="15"/>
      <c r="C308" s="15"/>
      <c r="D308" s="16"/>
      <c r="H308" s="15"/>
      <c r="L308" s="484"/>
      <c r="M308" s="550"/>
      <c r="N308" s="550"/>
      <c r="P308" s="15"/>
      <c r="Q308" s="15"/>
      <c r="R308" s="15"/>
      <c r="S308" s="15"/>
      <c r="T308" s="545"/>
    </row>
    <row r="309" spans="1:20" x14ac:dyDescent="0.25">
      <c r="A309" s="15"/>
      <c r="B309" s="15"/>
      <c r="C309" s="15"/>
      <c r="D309" s="16"/>
      <c r="H309" s="15"/>
      <c r="L309" s="484"/>
      <c r="M309" s="550"/>
      <c r="N309" s="550"/>
      <c r="P309" s="15"/>
      <c r="Q309" s="15"/>
      <c r="R309" s="15"/>
      <c r="S309" s="15"/>
      <c r="T309" s="545"/>
    </row>
    <row r="310" spans="1:20" x14ac:dyDescent="0.25">
      <c r="A310" s="15"/>
      <c r="B310" s="15"/>
      <c r="C310" s="15"/>
      <c r="D310" s="16"/>
      <c r="H310" s="15"/>
      <c r="L310" s="484"/>
      <c r="M310" s="550"/>
      <c r="N310" s="550"/>
      <c r="P310" s="15"/>
      <c r="Q310" s="15"/>
      <c r="R310" s="15"/>
      <c r="S310" s="15"/>
      <c r="T310" s="545"/>
    </row>
    <row r="311" spans="1:20" x14ac:dyDescent="0.25">
      <c r="A311" s="15"/>
      <c r="B311" s="15"/>
      <c r="C311" s="15"/>
      <c r="D311" s="16"/>
      <c r="H311" s="15"/>
      <c r="L311" s="484"/>
      <c r="M311" s="550"/>
      <c r="N311" s="550"/>
      <c r="P311" s="15"/>
      <c r="Q311" s="15"/>
      <c r="R311" s="15"/>
      <c r="S311" s="15"/>
      <c r="T311" s="545"/>
    </row>
    <row r="312" spans="1:20" x14ac:dyDescent="0.25">
      <c r="A312" s="15"/>
      <c r="B312" s="15"/>
      <c r="C312" s="15"/>
      <c r="D312" s="16"/>
      <c r="H312" s="15"/>
      <c r="L312" s="484"/>
      <c r="M312" s="550"/>
      <c r="N312" s="550"/>
      <c r="P312" s="15"/>
      <c r="Q312" s="15"/>
      <c r="R312" s="15"/>
      <c r="S312" s="15"/>
      <c r="T312" s="545"/>
    </row>
    <row r="313" spans="1:20" x14ac:dyDescent="0.25">
      <c r="A313" s="15"/>
      <c r="B313" s="15"/>
      <c r="C313" s="15"/>
      <c r="D313" s="16"/>
      <c r="H313" s="15"/>
      <c r="L313" s="484"/>
      <c r="M313" s="550"/>
      <c r="N313" s="550"/>
      <c r="P313" s="15"/>
      <c r="Q313" s="15"/>
      <c r="R313" s="15"/>
      <c r="S313" s="15"/>
      <c r="T313" s="545"/>
    </row>
    <row r="314" spans="1:20" x14ac:dyDescent="0.25">
      <c r="A314" s="15"/>
      <c r="B314" s="15"/>
      <c r="C314" s="15"/>
      <c r="D314" s="16"/>
      <c r="H314" s="15"/>
      <c r="L314" s="484"/>
      <c r="M314" s="550"/>
      <c r="N314" s="550"/>
      <c r="P314" s="15"/>
      <c r="Q314" s="15"/>
      <c r="R314" s="15"/>
      <c r="S314" s="15"/>
      <c r="T314" s="545"/>
    </row>
    <row r="315" spans="1:20" x14ac:dyDescent="0.25">
      <c r="A315" s="15"/>
      <c r="B315" s="15"/>
      <c r="C315" s="15"/>
      <c r="D315" s="16"/>
      <c r="H315" s="15"/>
      <c r="L315" s="484"/>
      <c r="M315" s="550"/>
      <c r="N315" s="550"/>
      <c r="P315" s="15"/>
      <c r="Q315" s="15"/>
      <c r="R315" s="15"/>
      <c r="S315" s="15"/>
      <c r="T315" s="545"/>
    </row>
    <row r="316" spans="1:20" x14ac:dyDescent="0.25">
      <c r="A316" s="15"/>
      <c r="B316" s="15"/>
      <c r="C316" s="15"/>
      <c r="D316" s="16"/>
      <c r="H316" s="15"/>
      <c r="L316" s="484"/>
      <c r="M316" s="550"/>
      <c r="N316" s="550"/>
      <c r="P316" s="15"/>
      <c r="Q316" s="15"/>
      <c r="R316" s="15"/>
      <c r="S316" s="15"/>
      <c r="T316" s="545"/>
    </row>
    <row r="317" spans="1:20" x14ac:dyDescent="0.25">
      <c r="A317" s="15"/>
      <c r="B317" s="15"/>
      <c r="C317" s="15"/>
      <c r="D317" s="16"/>
      <c r="H317" s="15"/>
      <c r="L317" s="484"/>
      <c r="M317" s="550"/>
      <c r="N317" s="550"/>
      <c r="P317" s="15"/>
      <c r="Q317" s="15"/>
      <c r="R317" s="15"/>
      <c r="S317" s="15"/>
      <c r="T317" s="545"/>
    </row>
    <row r="318" spans="1:20" x14ac:dyDescent="0.25">
      <c r="A318" s="15"/>
      <c r="B318" s="15"/>
      <c r="C318" s="15"/>
      <c r="D318" s="16"/>
      <c r="H318" s="15"/>
      <c r="L318" s="484"/>
      <c r="M318" s="550"/>
      <c r="N318" s="550"/>
      <c r="P318" s="15"/>
      <c r="Q318" s="15"/>
      <c r="R318" s="15"/>
      <c r="S318" s="15"/>
      <c r="T318" s="545"/>
    </row>
    <row r="319" spans="1:20" x14ac:dyDescent="0.25">
      <c r="A319" s="15"/>
      <c r="B319" s="15"/>
      <c r="C319" s="15"/>
      <c r="D319" s="16"/>
      <c r="H319" s="15"/>
      <c r="L319" s="484"/>
      <c r="M319" s="550"/>
      <c r="N319" s="550"/>
      <c r="P319" s="15"/>
      <c r="Q319" s="15"/>
      <c r="R319" s="15"/>
      <c r="S319" s="15"/>
      <c r="T319" s="545"/>
    </row>
    <row r="320" spans="1:20" x14ac:dyDescent="0.25">
      <c r="A320" s="15"/>
      <c r="B320" s="15"/>
      <c r="C320" s="15"/>
      <c r="D320" s="16"/>
      <c r="H320" s="15"/>
      <c r="L320" s="484"/>
      <c r="M320" s="550"/>
      <c r="N320" s="550"/>
      <c r="P320" s="15"/>
      <c r="Q320" s="15"/>
      <c r="R320" s="15"/>
      <c r="S320" s="15"/>
      <c r="T320" s="545"/>
    </row>
    <row r="321" spans="1:20" x14ac:dyDescent="0.25">
      <c r="A321" s="15"/>
      <c r="B321" s="15"/>
      <c r="C321" s="15"/>
      <c r="D321" s="16"/>
      <c r="H321" s="15"/>
      <c r="L321" s="484"/>
      <c r="M321" s="550"/>
      <c r="N321" s="550"/>
      <c r="P321" s="15"/>
      <c r="Q321" s="15"/>
      <c r="R321" s="15"/>
      <c r="S321" s="15"/>
      <c r="T321" s="545"/>
    </row>
    <row r="322" spans="1:20" x14ac:dyDescent="0.25">
      <c r="A322" s="15"/>
      <c r="B322" s="15"/>
      <c r="C322" s="15"/>
      <c r="D322" s="16"/>
      <c r="H322" s="15"/>
      <c r="L322" s="484"/>
      <c r="M322" s="550"/>
      <c r="N322" s="550"/>
      <c r="P322" s="15"/>
      <c r="Q322" s="15"/>
      <c r="R322" s="15"/>
      <c r="S322" s="15"/>
      <c r="T322" s="545"/>
    </row>
    <row r="323" spans="1:20" x14ac:dyDescent="0.25">
      <c r="A323" s="15"/>
      <c r="B323" s="15"/>
      <c r="C323" s="15"/>
      <c r="D323" s="16"/>
      <c r="H323" s="15"/>
      <c r="L323" s="484"/>
      <c r="M323" s="550"/>
      <c r="N323" s="550"/>
      <c r="P323" s="15"/>
      <c r="Q323" s="15"/>
      <c r="R323" s="15"/>
      <c r="S323" s="15"/>
      <c r="T323" s="545"/>
    </row>
    <row r="324" spans="1:20" x14ac:dyDescent="0.25">
      <c r="A324" s="15"/>
      <c r="B324" s="15"/>
      <c r="C324" s="15"/>
      <c r="D324" s="16"/>
      <c r="H324" s="15"/>
      <c r="L324" s="484"/>
      <c r="M324" s="550"/>
      <c r="N324" s="550"/>
      <c r="P324" s="15"/>
      <c r="Q324" s="15"/>
      <c r="R324" s="15"/>
      <c r="S324" s="15"/>
      <c r="T324" s="545"/>
    </row>
    <row r="325" spans="1:20" x14ac:dyDescent="0.25">
      <c r="A325" s="15"/>
      <c r="B325" s="15"/>
      <c r="C325" s="15"/>
      <c r="D325" s="16"/>
      <c r="H325" s="15"/>
      <c r="L325" s="484"/>
      <c r="M325" s="550"/>
      <c r="N325" s="550"/>
      <c r="P325" s="15"/>
      <c r="Q325" s="15"/>
      <c r="R325" s="15"/>
      <c r="S325" s="15"/>
      <c r="T325" s="545"/>
    </row>
    <row r="326" spans="1:20" x14ac:dyDescent="0.25">
      <c r="A326" s="15"/>
      <c r="B326" s="15"/>
      <c r="C326" s="15"/>
      <c r="D326" s="16"/>
      <c r="H326" s="15"/>
      <c r="L326" s="484"/>
      <c r="M326" s="550"/>
      <c r="N326" s="550"/>
      <c r="P326" s="15"/>
      <c r="Q326" s="15"/>
      <c r="R326" s="15"/>
      <c r="S326" s="15"/>
      <c r="T326" s="545"/>
    </row>
    <row r="327" spans="1:20" x14ac:dyDescent="0.25">
      <c r="A327" s="15"/>
      <c r="B327" s="15"/>
      <c r="C327" s="15"/>
      <c r="D327" s="16"/>
      <c r="H327" s="15"/>
      <c r="L327" s="484"/>
      <c r="M327" s="550"/>
      <c r="N327" s="550"/>
      <c r="P327" s="15"/>
      <c r="Q327" s="15"/>
      <c r="R327" s="15"/>
      <c r="S327" s="15"/>
      <c r="T327" s="545"/>
    </row>
    <row r="328" spans="1:20" x14ac:dyDescent="0.25">
      <c r="A328" s="15"/>
      <c r="B328" s="15"/>
      <c r="C328" s="15"/>
      <c r="D328" s="16"/>
      <c r="H328" s="15"/>
      <c r="L328" s="484"/>
      <c r="M328" s="550"/>
      <c r="N328" s="550"/>
      <c r="P328" s="15"/>
      <c r="Q328" s="15"/>
      <c r="R328" s="15"/>
      <c r="S328" s="15"/>
      <c r="T328" s="545"/>
    </row>
    <row r="329" spans="1:20" x14ac:dyDescent="0.25">
      <c r="A329" s="15"/>
      <c r="B329" s="15"/>
      <c r="C329" s="15"/>
      <c r="D329" s="16"/>
      <c r="H329" s="15"/>
      <c r="L329" s="484"/>
      <c r="M329" s="550"/>
      <c r="N329" s="550"/>
      <c r="P329" s="15"/>
      <c r="Q329" s="15"/>
      <c r="R329" s="15"/>
      <c r="S329" s="15"/>
      <c r="T329" s="545"/>
    </row>
    <row r="330" spans="1:20" x14ac:dyDescent="0.25">
      <c r="A330" s="15"/>
      <c r="B330" s="15"/>
      <c r="C330" s="15"/>
      <c r="D330" s="16"/>
      <c r="H330" s="15"/>
      <c r="L330" s="484"/>
      <c r="M330" s="550"/>
      <c r="N330" s="550"/>
      <c r="P330" s="15"/>
      <c r="Q330" s="15"/>
      <c r="R330" s="15"/>
      <c r="S330" s="15"/>
      <c r="T330" s="545"/>
    </row>
    <row r="331" spans="1:20" x14ac:dyDescent="0.25">
      <c r="A331" s="15"/>
      <c r="B331" s="15"/>
      <c r="C331" s="15"/>
      <c r="D331" s="16"/>
      <c r="H331" s="15"/>
      <c r="L331" s="484"/>
      <c r="M331" s="550"/>
      <c r="N331" s="550"/>
      <c r="P331" s="15"/>
      <c r="Q331" s="15"/>
      <c r="R331" s="15"/>
      <c r="S331" s="15"/>
      <c r="T331" s="545"/>
    </row>
    <row r="332" spans="1:20" x14ac:dyDescent="0.25">
      <c r="A332" s="15"/>
      <c r="B332" s="15"/>
      <c r="C332" s="15"/>
      <c r="D332" s="16"/>
      <c r="H332" s="15"/>
      <c r="L332" s="484"/>
      <c r="M332" s="550"/>
      <c r="N332" s="550"/>
      <c r="P332" s="15"/>
      <c r="Q332" s="15"/>
      <c r="R332" s="15"/>
      <c r="S332" s="15"/>
      <c r="T332" s="545"/>
    </row>
    <row r="333" spans="1:20" x14ac:dyDescent="0.25">
      <c r="A333" s="15"/>
      <c r="B333" s="15"/>
      <c r="C333" s="15"/>
      <c r="D333" s="16"/>
      <c r="H333" s="15"/>
      <c r="L333" s="484"/>
      <c r="M333" s="550"/>
      <c r="N333" s="550"/>
      <c r="P333" s="15"/>
      <c r="Q333" s="15"/>
      <c r="R333" s="15"/>
      <c r="S333" s="15"/>
      <c r="T333" s="545"/>
    </row>
    <row r="334" spans="1:20" x14ac:dyDescent="0.25">
      <c r="A334" s="15"/>
      <c r="B334" s="15"/>
      <c r="C334" s="15"/>
      <c r="D334" s="16"/>
      <c r="H334" s="15"/>
      <c r="L334" s="484"/>
      <c r="M334" s="550"/>
      <c r="N334" s="550"/>
      <c r="P334" s="15"/>
      <c r="Q334" s="15"/>
      <c r="R334" s="15"/>
      <c r="S334" s="15"/>
      <c r="T334" s="545"/>
    </row>
    <row r="335" spans="1:20" x14ac:dyDescent="0.25">
      <c r="A335" s="15"/>
      <c r="B335" s="15"/>
      <c r="C335" s="15"/>
      <c r="D335" s="16"/>
      <c r="H335" s="15"/>
      <c r="L335" s="484"/>
      <c r="M335" s="550"/>
      <c r="N335" s="550"/>
      <c r="P335" s="15"/>
      <c r="Q335" s="15"/>
      <c r="R335" s="15"/>
      <c r="S335" s="15"/>
      <c r="T335" s="545"/>
    </row>
    <row r="336" spans="1:20" x14ac:dyDescent="0.25">
      <c r="A336" s="15"/>
      <c r="B336" s="15"/>
      <c r="C336" s="15"/>
      <c r="D336" s="16"/>
      <c r="H336" s="15"/>
      <c r="L336" s="484"/>
      <c r="M336" s="550"/>
      <c r="N336" s="550"/>
      <c r="P336" s="15"/>
      <c r="Q336" s="15"/>
      <c r="R336" s="15"/>
      <c r="S336" s="15"/>
      <c r="T336" s="545"/>
    </row>
    <row r="337" spans="1:20" x14ac:dyDescent="0.25">
      <c r="A337" s="15"/>
      <c r="B337" s="15"/>
      <c r="C337" s="15"/>
      <c r="D337" s="16"/>
      <c r="H337" s="15"/>
      <c r="L337" s="484"/>
      <c r="M337" s="550"/>
      <c r="N337" s="550"/>
      <c r="P337" s="15"/>
      <c r="Q337" s="15"/>
      <c r="R337" s="15"/>
      <c r="S337" s="15"/>
      <c r="T337" s="545"/>
    </row>
    <row r="338" spans="1:20" x14ac:dyDescent="0.25">
      <c r="A338" s="15"/>
      <c r="B338" s="15"/>
      <c r="C338" s="15"/>
      <c r="D338" s="16"/>
      <c r="H338" s="15"/>
      <c r="L338" s="484"/>
      <c r="M338" s="550"/>
      <c r="N338" s="550"/>
      <c r="P338" s="15"/>
      <c r="Q338" s="15"/>
      <c r="R338" s="15"/>
      <c r="S338" s="15"/>
      <c r="T338" s="545"/>
    </row>
    <row r="339" spans="1:20" x14ac:dyDescent="0.25">
      <c r="A339" s="15"/>
      <c r="B339" s="15"/>
      <c r="C339" s="15"/>
      <c r="D339" s="16"/>
      <c r="H339" s="15"/>
      <c r="L339" s="484"/>
      <c r="M339" s="550"/>
      <c r="N339" s="550"/>
      <c r="P339" s="15"/>
      <c r="Q339" s="15"/>
      <c r="R339" s="15"/>
      <c r="S339" s="15"/>
      <c r="T339" s="545"/>
    </row>
    <row r="340" spans="1:20" x14ac:dyDescent="0.25">
      <c r="A340" s="15"/>
      <c r="B340" s="15"/>
      <c r="C340" s="15"/>
      <c r="D340" s="16"/>
      <c r="H340" s="15"/>
      <c r="L340" s="484"/>
      <c r="M340" s="550"/>
      <c r="N340" s="550"/>
      <c r="P340" s="15"/>
      <c r="Q340" s="15"/>
      <c r="R340" s="15"/>
      <c r="S340" s="15"/>
      <c r="T340" s="545"/>
    </row>
    <row r="341" spans="1:20" x14ac:dyDescent="0.25">
      <c r="A341" s="15"/>
      <c r="B341" s="15"/>
      <c r="C341" s="15"/>
      <c r="D341" s="16"/>
      <c r="H341" s="15"/>
      <c r="L341" s="484"/>
      <c r="M341" s="550"/>
      <c r="N341" s="550"/>
      <c r="P341" s="15"/>
      <c r="Q341" s="15"/>
      <c r="R341" s="15"/>
      <c r="S341" s="15"/>
      <c r="T341" s="545"/>
    </row>
    <row r="342" spans="1:20" x14ac:dyDescent="0.25">
      <c r="A342" s="15"/>
      <c r="B342" s="15"/>
      <c r="C342" s="15"/>
      <c r="D342" s="16"/>
      <c r="H342" s="15"/>
      <c r="L342" s="484"/>
      <c r="M342" s="550"/>
      <c r="N342" s="550"/>
      <c r="P342" s="15"/>
      <c r="Q342" s="15"/>
      <c r="R342" s="15"/>
      <c r="S342" s="15"/>
      <c r="T342" s="545"/>
    </row>
    <row r="343" spans="1:20" x14ac:dyDescent="0.25">
      <c r="A343" s="15"/>
      <c r="B343" s="15"/>
      <c r="C343" s="15"/>
      <c r="D343" s="16"/>
      <c r="H343" s="15"/>
      <c r="L343" s="484"/>
      <c r="M343" s="550"/>
      <c r="N343" s="550"/>
      <c r="P343" s="15"/>
      <c r="Q343" s="15"/>
      <c r="R343" s="15"/>
      <c r="S343" s="15"/>
      <c r="T343" s="545"/>
    </row>
    <row r="344" spans="1:20" x14ac:dyDescent="0.25">
      <c r="A344" s="15"/>
      <c r="B344" s="15"/>
      <c r="C344" s="15"/>
      <c r="D344" s="16"/>
      <c r="H344" s="15"/>
      <c r="L344" s="484"/>
      <c r="M344" s="550"/>
      <c r="N344" s="550"/>
      <c r="P344" s="15"/>
      <c r="Q344" s="15"/>
      <c r="R344" s="15"/>
      <c r="S344" s="15"/>
      <c r="T344" s="545"/>
    </row>
    <row r="345" spans="1:20" x14ac:dyDescent="0.25">
      <c r="A345" s="15"/>
      <c r="B345" s="15"/>
      <c r="C345" s="15"/>
      <c r="D345" s="16"/>
      <c r="H345" s="15"/>
      <c r="L345" s="484"/>
      <c r="M345" s="550"/>
      <c r="N345" s="550"/>
      <c r="P345" s="15"/>
      <c r="Q345" s="15"/>
      <c r="R345" s="15"/>
      <c r="S345" s="15"/>
      <c r="T345" s="545"/>
    </row>
    <row r="346" spans="1:20" x14ac:dyDescent="0.25">
      <c r="A346" s="15"/>
      <c r="B346" s="15"/>
      <c r="C346" s="15"/>
      <c r="D346" s="16"/>
      <c r="H346" s="15"/>
      <c r="L346" s="484"/>
      <c r="M346" s="550"/>
      <c r="N346" s="550"/>
      <c r="P346" s="15"/>
      <c r="Q346" s="15"/>
      <c r="R346" s="15"/>
      <c r="S346" s="15"/>
      <c r="T346" s="545"/>
    </row>
    <row r="347" spans="1:20" x14ac:dyDescent="0.25">
      <c r="A347" s="15"/>
      <c r="B347" s="15"/>
      <c r="C347" s="15"/>
      <c r="D347" s="16"/>
      <c r="H347" s="15"/>
      <c r="L347" s="484"/>
      <c r="M347" s="550"/>
      <c r="N347" s="550"/>
      <c r="P347" s="15"/>
      <c r="Q347" s="15"/>
      <c r="R347" s="15"/>
      <c r="S347" s="15"/>
      <c r="T347" s="545"/>
    </row>
    <row r="348" spans="1:20" x14ac:dyDescent="0.25">
      <c r="A348" s="15"/>
      <c r="B348" s="15"/>
      <c r="C348" s="15"/>
      <c r="D348" s="16"/>
      <c r="H348" s="15"/>
      <c r="L348" s="484"/>
      <c r="M348" s="550"/>
      <c r="N348" s="550"/>
      <c r="P348" s="15"/>
      <c r="Q348" s="15"/>
      <c r="R348" s="15"/>
      <c r="S348" s="15"/>
      <c r="T348" s="545"/>
    </row>
    <row r="349" spans="1:20" x14ac:dyDescent="0.25">
      <c r="A349" s="15"/>
      <c r="B349" s="15"/>
      <c r="C349" s="15"/>
      <c r="D349" s="16"/>
      <c r="H349" s="15"/>
      <c r="L349" s="484"/>
      <c r="M349" s="550"/>
      <c r="N349" s="550"/>
      <c r="P349" s="15"/>
      <c r="Q349" s="15"/>
      <c r="R349" s="15"/>
      <c r="S349" s="15"/>
      <c r="T349" s="545"/>
    </row>
    <row r="350" spans="1:20" x14ac:dyDescent="0.25">
      <c r="A350" s="15"/>
      <c r="B350" s="15"/>
      <c r="C350" s="15"/>
      <c r="D350" s="16"/>
      <c r="H350" s="15"/>
      <c r="L350" s="484"/>
      <c r="M350" s="550"/>
      <c r="N350" s="550"/>
      <c r="P350" s="15"/>
      <c r="Q350" s="15"/>
      <c r="R350" s="15"/>
      <c r="S350" s="15"/>
      <c r="T350" s="545"/>
    </row>
    <row r="351" spans="1:20" x14ac:dyDescent="0.25">
      <c r="A351" s="15"/>
      <c r="B351" s="15"/>
      <c r="C351" s="15"/>
      <c r="D351" s="16"/>
      <c r="H351" s="15"/>
      <c r="L351" s="484"/>
      <c r="M351" s="550"/>
      <c r="N351" s="550"/>
      <c r="P351" s="15"/>
      <c r="Q351" s="15"/>
      <c r="R351" s="15"/>
      <c r="S351" s="15"/>
      <c r="T351" s="545"/>
    </row>
    <row r="352" spans="1:20" x14ac:dyDescent="0.25">
      <c r="A352" s="15"/>
      <c r="B352" s="15"/>
      <c r="C352" s="15"/>
      <c r="D352" s="16"/>
      <c r="H352" s="15"/>
      <c r="L352" s="484"/>
      <c r="M352" s="550"/>
      <c r="N352" s="550"/>
      <c r="P352" s="15"/>
      <c r="Q352" s="15"/>
      <c r="R352" s="15"/>
      <c r="S352" s="15"/>
      <c r="T352" s="545"/>
    </row>
    <row r="353" spans="1:20" x14ac:dyDescent="0.25">
      <c r="A353" s="15"/>
      <c r="B353" s="15"/>
      <c r="C353" s="15"/>
      <c r="D353" s="16"/>
      <c r="H353" s="15"/>
      <c r="L353" s="484"/>
      <c r="M353" s="550"/>
      <c r="N353" s="550"/>
      <c r="P353" s="15"/>
      <c r="Q353" s="15"/>
      <c r="R353" s="15"/>
      <c r="S353" s="15"/>
      <c r="T353" s="545"/>
    </row>
    <row r="354" spans="1:20" x14ac:dyDescent="0.25">
      <c r="A354" s="15"/>
      <c r="B354" s="15"/>
      <c r="C354" s="15"/>
      <c r="D354" s="16"/>
      <c r="H354" s="15"/>
      <c r="L354" s="484"/>
      <c r="M354" s="550"/>
      <c r="N354" s="550"/>
      <c r="P354" s="15"/>
      <c r="Q354" s="15"/>
      <c r="R354" s="15"/>
      <c r="S354" s="15"/>
      <c r="T354" s="545"/>
    </row>
    <row r="355" spans="1:20" x14ac:dyDescent="0.25">
      <c r="A355" s="15"/>
      <c r="B355" s="15"/>
      <c r="C355" s="15"/>
      <c r="D355" s="16"/>
      <c r="H355" s="15"/>
      <c r="L355" s="484"/>
      <c r="M355" s="550"/>
      <c r="N355" s="550"/>
      <c r="P355" s="15"/>
      <c r="Q355" s="15"/>
      <c r="R355" s="15"/>
      <c r="S355" s="15"/>
      <c r="T355" s="545"/>
    </row>
    <row r="356" spans="1:20" x14ac:dyDescent="0.25">
      <c r="A356" s="15"/>
      <c r="B356" s="15"/>
      <c r="C356" s="15"/>
      <c r="D356" s="16"/>
      <c r="H356" s="15"/>
      <c r="L356" s="484"/>
      <c r="M356" s="550"/>
      <c r="N356" s="550"/>
      <c r="P356" s="15"/>
      <c r="Q356" s="15"/>
      <c r="R356" s="15"/>
      <c r="S356" s="15"/>
      <c r="T356" s="545"/>
    </row>
    <row r="357" spans="1:20" x14ac:dyDescent="0.25">
      <c r="A357" s="15"/>
      <c r="B357" s="15"/>
      <c r="C357" s="15"/>
      <c r="D357" s="16"/>
      <c r="H357" s="15"/>
      <c r="L357" s="484"/>
      <c r="M357" s="550"/>
      <c r="N357" s="550"/>
      <c r="P357" s="15"/>
      <c r="Q357" s="15"/>
      <c r="R357" s="15"/>
      <c r="S357" s="15"/>
      <c r="T357" s="545"/>
    </row>
    <row r="358" spans="1:20" x14ac:dyDescent="0.25">
      <c r="A358" s="15"/>
      <c r="B358" s="15"/>
      <c r="C358" s="15"/>
      <c r="D358" s="16"/>
      <c r="H358" s="15"/>
      <c r="L358" s="484"/>
      <c r="M358" s="550"/>
      <c r="N358" s="550"/>
      <c r="P358" s="15"/>
      <c r="Q358" s="15"/>
      <c r="R358" s="15"/>
      <c r="S358" s="15"/>
      <c r="T358" s="545"/>
    </row>
    <row r="359" spans="1:20" x14ac:dyDescent="0.25">
      <c r="A359" s="15"/>
      <c r="B359" s="15"/>
      <c r="C359" s="15"/>
      <c r="D359" s="16"/>
      <c r="H359" s="15"/>
      <c r="L359" s="484"/>
      <c r="M359" s="550"/>
      <c r="N359" s="550"/>
      <c r="P359" s="15"/>
      <c r="Q359" s="15"/>
      <c r="R359" s="15"/>
      <c r="S359" s="15"/>
      <c r="T359" s="545"/>
    </row>
    <row r="360" spans="1:20" x14ac:dyDescent="0.25">
      <c r="A360" s="15"/>
      <c r="B360" s="15"/>
      <c r="C360" s="15"/>
      <c r="D360" s="16"/>
      <c r="H360" s="15"/>
      <c r="L360" s="484"/>
      <c r="M360" s="550"/>
      <c r="N360" s="550"/>
      <c r="P360" s="15"/>
      <c r="Q360" s="15"/>
      <c r="R360" s="15"/>
      <c r="S360" s="15"/>
      <c r="T360" s="545"/>
    </row>
    <row r="361" spans="1:20" x14ac:dyDescent="0.25">
      <c r="A361" s="15"/>
      <c r="B361" s="15"/>
      <c r="C361" s="15"/>
      <c r="D361" s="16"/>
      <c r="H361" s="15"/>
      <c r="L361" s="484"/>
      <c r="M361" s="550"/>
      <c r="N361" s="550"/>
      <c r="P361" s="15"/>
      <c r="Q361" s="15"/>
      <c r="R361" s="15"/>
      <c r="S361" s="15"/>
      <c r="T361" s="545"/>
    </row>
    <row r="362" spans="1:20" x14ac:dyDescent="0.25">
      <c r="A362" s="15"/>
      <c r="B362" s="15"/>
      <c r="C362" s="15"/>
      <c r="D362" s="16"/>
      <c r="H362" s="15"/>
      <c r="L362" s="484"/>
      <c r="M362" s="550"/>
      <c r="N362" s="550"/>
      <c r="P362" s="15"/>
      <c r="Q362" s="15"/>
      <c r="R362" s="15"/>
      <c r="S362" s="15"/>
      <c r="T362" s="545"/>
    </row>
    <row r="363" spans="1:20" x14ac:dyDescent="0.25">
      <c r="A363" s="15"/>
      <c r="B363" s="15"/>
      <c r="C363" s="15"/>
      <c r="D363" s="16"/>
      <c r="H363" s="15"/>
      <c r="L363" s="484"/>
      <c r="M363" s="550"/>
      <c r="N363" s="550"/>
      <c r="P363" s="15"/>
      <c r="Q363" s="15"/>
      <c r="R363" s="15"/>
      <c r="S363" s="15"/>
      <c r="T363" s="545"/>
    </row>
    <row r="364" spans="1:20" x14ac:dyDescent="0.25">
      <c r="A364" s="15"/>
      <c r="B364" s="15"/>
      <c r="C364" s="15"/>
      <c r="D364" s="16"/>
      <c r="H364" s="15"/>
      <c r="L364" s="484"/>
      <c r="M364" s="550"/>
      <c r="N364" s="550"/>
      <c r="P364" s="15"/>
      <c r="Q364" s="15"/>
      <c r="R364" s="15"/>
      <c r="S364" s="15"/>
      <c r="T364" s="545"/>
    </row>
    <row r="365" spans="1:20" x14ac:dyDescent="0.25">
      <c r="A365" s="15"/>
      <c r="B365" s="15"/>
      <c r="C365" s="15"/>
      <c r="D365" s="16"/>
      <c r="H365" s="15"/>
      <c r="L365" s="484"/>
      <c r="M365" s="550"/>
      <c r="N365" s="550"/>
      <c r="P365" s="15"/>
      <c r="Q365" s="15"/>
      <c r="R365" s="15"/>
      <c r="S365" s="15"/>
      <c r="T365" s="545"/>
    </row>
    <row r="366" spans="1:20" x14ac:dyDescent="0.25">
      <c r="A366" s="15"/>
      <c r="B366" s="15"/>
      <c r="C366" s="15"/>
      <c r="D366" s="16"/>
      <c r="H366" s="15"/>
      <c r="L366" s="484"/>
      <c r="M366" s="550"/>
      <c r="N366" s="550"/>
      <c r="P366" s="15"/>
      <c r="Q366" s="15"/>
      <c r="R366" s="15"/>
      <c r="S366" s="15"/>
      <c r="T366" s="545"/>
    </row>
    <row r="367" spans="1:20" x14ac:dyDescent="0.25">
      <c r="A367" s="15"/>
      <c r="B367" s="15"/>
      <c r="C367" s="15"/>
      <c r="D367" s="16"/>
      <c r="H367" s="15"/>
      <c r="L367" s="484"/>
      <c r="M367" s="550"/>
      <c r="N367" s="550"/>
      <c r="P367" s="15"/>
      <c r="Q367" s="15"/>
      <c r="R367" s="15"/>
      <c r="S367" s="15"/>
      <c r="T367" s="545"/>
    </row>
    <row r="368" spans="1:20" x14ac:dyDescent="0.25">
      <c r="A368" s="15"/>
      <c r="B368" s="15"/>
      <c r="C368" s="15"/>
      <c r="D368" s="16"/>
      <c r="H368" s="15"/>
      <c r="L368" s="484"/>
      <c r="M368" s="550"/>
      <c r="N368" s="550"/>
      <c r="P368" s="15"/>
      <c r="Q368" s="15"/>
      <c r="R368" s="15"/>
      <c r="S368" s="15"/>
      <c r="T368" s="545"/>
    </row>
    <row r="369" spans="1:20" x14ac:dyDescent="0.25">
      <c r="A369" s="15"/>
      <c r="B369" s="15"/>
      <c r="C369" s="15"/>
      <c r="D369" s="16"/>
      <c r="H369" s="15"/>
      <c r="L369" s="484"/>
      <c r="M369" s="550"/>
      <c r="N369" s="550"/>
      <c r="P369" s="15"/>
      <c r="Q369" s="15"/>
      <c r="R369" s="15"/>
      <c r="S369" s="15"/>
      <c r="T369" s="545"/>
    </row>
    <row r="370" spans="1:20" x14ac:dyDescent="0.25">
      <c r="A370" s="15"/>
      <c r="B370" s="15"/>
      <c r="C370" s="15"/>
      <c r="D370" s="16"/>
      <c r="H370" s="15"/>
      <c r="L370" s="484"/>
      <c r="M370" s="550"/>
      <c r="N370" s="550"/>
      <c r="P370" s="15"/>
      <c r="Q370" s="15"/>
      <c r="R370" s="15"/>
      <c r="S370" s="15"/>
      <c r="T370" s="545"/>
    </row>
    <row r="371" spans="1:20" x14ac:dyDescent="0.25">
      <c r="A371" s="15"/>
      <c r="B371" s="15"/>
      <c r="C371" s="15"/>
      <c r="D371" s="16"/>
      <c r="H371" s="15"/>
      <c r="L371" s="484"/>
      <c r="M371" s="550"/>
      <c r="N371" s="550"/>
      <c r="P371" s="15"/>
      <c r="Q371" s="15"/>
      <c r="R371" s="15"/>
      <c r="S371" s="15"/>
      <c r="T371" s="545"/>
    </row>
    <row r="372" spans="1:20" x14ac:dyDescent="0.25">
      <c r="A372" s="15"/>
      <c r="B372" s="15"/>
      <c r="C372" s="15"/>
      <c r="D372" s="16"/>
      <c r="H372" s="15"/>
      <c r="L372" s="484"/>
      <c r="M372" s="550"/>
      <c r="N372" s="550"/>
      <c r="P372" s="15"/>
      <c r="Q372" s="15"/>
      <c r="R372" s="15"/>
      <c r="S372" s="15"/>
      <c r="T372" s="545"/>
    </row>
    <row r="373" spans="1:20" x14ac:dyDescent="0.25">
      <c r="A373" s="15"/>
      <c r="B373" s="15"/>
      <c r="C373" s="15"/>
      <c r="D373" s="16"/>
      <c r="H373" s="15"/>
      <c r="L373" s="484"/>
      <c r="M373" s="550"/>
      <c r="N373" s="550"/>
      <c r="P373" s="15"/>
      <c r="Q373" s="15"/>
      <c r="R373" s="15"/>
      <c r="S373" s="15"/>
      <c r="T373" s="545"/>
    </row>
    <row r="374" spans="1:20" x14ac:dyDescent="0.25">
      <c r="A374" s="15"/>
      <c r="B374" s="15"/>
      <c r="C374" s="15"/>
      <c r="D374" s="16"/>
      <c r="H374" s="15"/>
      <c r="L374" s="484"/>
      <c r="M374" s="550"/>
      <c r="N374" s="550"/>
      <c r="P374" s="15"/>
      <c r="Q374" s="15"/>
      <c r="R374" s="15"/>
      <c r="S374" s="15"/>
      <c r="T374" s="545"/>
    </row>
    <row r="375" spans="1:20" x14ac:dyDescent="0.25">
      <c r="A375" s="15"/>
      <c r="B375" s="15"/>
      <c r="C375" s="15"/>
      <c r="D375" s="16"/>
      <c r="H375" s="15"/>
      <c r="L375" s="484"/>
      <c r="M375" s="550"/>
      <c r="N375" s="550"/>
      <c r="P375" s="15"/>
      <c r="Q375" s="15"/>
      <c r="R375" s="15"/>
      <c r="S375" s="15"/>
      <c r="T375" s="545"/>
    </row>
    <row r="376" spans="1:20" x14ac:dyDescent="0.25">
      <c r="A376" s="15"/>
      <c r="B376" s="15"/>
      <c r="C376" s="15"/>
      <c r="D376" s="16"/>
      <c r="H376" s="15"/>
      <c r="L376" s="484"/>
      <c r="M376" s="550"/>
      <c r="N376" s="550"/>
      <c r="P376" s="15"/>
      <c r="Q376" s="15"/>
      <c r="R376" s="15"/>
      <c r="S376" s="15"/>
      <c r="T376" s="545"/>
    </row>
    <row r="377" spans="1:20" x14ac:dyDescent="0.25">
      <c r="A377" s="15"/>
      <c r="B377" s="15"/>
      <c r="C377" s="15"/>
      <c r="D377" s="16"/>
      <c r="H377" s="15"/>
      <c r="L377" s="484"/>
      <c r="M377" s="550"/>
      <c r="N377" s="550"/>
      <c r="P377" s="15"/>
      <c r="Q377" s="15"/>
      <c r="R377" s="15"/>
      <c r="S377" s="15"/>
      <c r="T377" s="545"/>
    </row>
    <row r="378" spans="1:20" x14ac:dyDescent="0.25">
      <c r="A378" s="15"/>
      <c r="B378" s="15"/>
      <c r="C378" s="15"/>
      <c r="D378" s="16"/>
      <c r="H378" s="15"/>
      <c r="L378" s="484"/>
      <c r="M378" s="550"/>
      <c r="N378" s="550"/>
      <c r="P378" s="15"/>
      <c r="Q378" s="15"/>
      <c r="R378" s="15"/>
      <c r="S378" s="15"/>
      <c r="T378" s="545"/>
    </row>
    <row r="379" spans="1:20" x14ac:dyDescent="0.25">
      <c r="A379" s="15"/>
      <c r="B379" s="15"/>
      <c r="C379" s="15"/>
      <c r="D379" s="16"/>
      <c r="H379" s="15"/>
      <c r="L379" s="484"/>
      <c r="M379" s="550"/>
      <c r="N379" s="550"/>
      <c r="P379" s="15"/>
      <c r="Q379" s="15"/>
      <c r="R379" s="15"/>
      <c r="S379" s="15"/>
      <c r="T379" s="545"/>
    </row>
    <row r="380" spans="1:20" x14ac:dyDescent="0.25">
      <c r="A380" s="15"/>
      <c r="B380" s="15"/>
      <c r="C380" s="15"/>
      <c r="D380" s="16"/>
      <c r="H380" s="15"/>
      <c r="L380" s="484"/>
      <c r="M380" s="550"/>
      <c r="N380" s="550"/>
      <c r="P380" s="15"/>
      <c r="Q380" s="15"/>
      <c r="R380" s="15"/>
      <c r="S380" s="15"/>
      <c r="T380" s="545"/>
    </row>
    <row r="381" spans="1:20" x14ac:dyDescent="0.25">
      <c r="A381" s="15"/>
      <c r="B381" s="15"/>
      <c r="C381" s="15"/>
      <c r="D381" s="16"/>
      <c r="H381" s="15"/>
      <c r="L381" s="484"/>
      <c r="M381" s="550"/>
      <c r="N381" s="550"/>
      <c r="P381" s="15"/>
      <c r="Q381" s="15"/>
      <c r="R381" s="15"/>
      <c r="S381" s="15"/>
      <c r="T381" s="545"/>
    </row>
    <row r="382" spans="1:20" x14ac:dyDescent="0.25">
      <c r="A382" s="15"/>
      <c r="B382" s="15"/>
      <c r="C382" s="15"/>
      <c r="D382" s="16"/>
      <c r="H382" s="15"/>
      <c r="L382" s="484"/>
      <c r="M382" s="550"/>
      <c r="N382" s="550"/>
      <c r="P382" s="15"/>
      <c r="Q382" s="15"/>
      <c r="R382" s="15"/>
      <c r="S382" s="15"/>
      <c r="T382" s="545"/>
    </row>
    <row r="383" spans="1:20" x14ac:dyDescent="0.25">
      <c r="A383" s="15"/>
      <c r="B383" s="15"/>
      <c r="C383" s="15"/>
      <c r="D383" s="16"/>
      <c r="H383" s="15"/>
      <c r="L383" s="484"/>
      <c r="M383" s="550"/>
      <c r="N383" s="550"/>
      <c r="P383" s="15"/>
      <c r="Q383" s="15"/>
      <c r="R383" s="15"/>
      <c r="S383" s="15"/>
      <c r="T383" s="545"/>
    </row>
    <row r="384" spans="1:20" x14ac:dyDescent="0.25">
      <c r="A384" s="15"/>
      <c r="B384" s="15"/>
      <c r="C384" s="15"/>
      <c r="D384" s="16"/>
      <c r="H384" s="15"/>
      <c r="L384" s="484"/>
      <c r="M384" s="550"/>
      <c r="N384" s="550"/>
      <c r="P384" s="15"/>
      <c r="Q384" s="15"/>
      <c r="R384" s="15"/>
      <c r="S384" s="15"/>
      <c r="T384" s="545"/>
    </row>
    <row r="385" spans="1:20" x14ac:dyDescent="0.25">
      <c r="A385" s="15"/>
      <c r="B385" s="15"/>
      <c r="C385" s="15"/>
      <c r="D385" s="16"/>
      <c r="H385" s="15"/>
      <c r="L385" s="484"/>
      <c r="M385" s="550"/>
      <c r="N385" s="550"/>
      <c r="P385" s="15"/>
      <c r="Q385" s="15"/>
      <c r="R385" s="15"/>
      <c r="S385" s="15"/>
      <c r="T385" s="545"/>
    </row>
    <row r="386" spans="1:20" x14ac:dyDescent="0.25">
      <c r="A386" s="15"/>
      <c r="B386" s="15"/>
      <c r="C386" s="15"/>
      <c r="D386" s="16"/>
      <c r="H386" s="15"/>
      <c r="L386" s="484"/>
      <c r="M386" s="550"/>
      <c r="N386" s="550"/>
      <c r="P386" s="15"/>
      <c r="Q386" s="15"/>
      <c r="R386" s="15"/>
      <c r="S386" s="15"/>
      <c r="T386" s="545"/>
    </row>
    <row r="387" spans="1:20" x14ac:dyDescent="0.25">
      <c r="A387" s="15"/>
      <c r="B387" s="15"/>
      <c r="C387" s="15"/>
      <c r="D387" s="16"/>
      <c r="H387" s="15"/>
      <c r="L387" s="484"/>
      <c r="M387" s="550"/>
      <c r="N387" s="550"/>
      <c r="P387" s="15"/>
      <c r="Q387" s="15"/>
      <c r="R387" s="15"/>
      <c r="S387" s="15"/>
      <c r="T387" s="545"/>
    </row>
    <row r="388" spans="1:20" x14ac:dyDescent="0.25">
      <c r="A388" s="15"/>
      <c r="B388" s="15"/>
      <c r="C388" s="15"/>
      <c r="D388" s="16"/>
      <c r="H388" s="15"/>
      <c r="L388" s="484"/>
      <c r="M388" s="550"/>
      <c r="N388" s="550"/>
      <c r="P388" s="15"/>
      <c r="Q388" s="15"/>
      <c r="R388" s="15"/>
      <c r="S388" s="15"/>
      <c r="T388" s="545"/>
    </row>
    <row r="389" spans="1:20" x14ac:dyDescent="0.25">
      <c r="A389" s="15"/>
      <c r="B389" s="15"/>
      <c r="C389" s="15"/>
      <c r="D389" s="16"/>
      <c r="H389" s="15"/>
      <c r="L389" s="484"/>
      <c r="M389" s="550"/>
      <c r="N389" s="550"/>
      <c r="P389" s="15"/>
      <c r="Q389" s="15"/>
      <c r="R389" s="15"/>
      <c r="S389" s="15"/>
      <c r="T389" s="545"/>
    </row>
    <row r="390" spans="1:20" x14ac:dyDescent="0.25">
      <c r="A390" s="15"/>
      <c r="B390" s="15"/>
      <c r="C390" s="15"/>
      <c r="D390" s="16"/>
      <c r="H390" s="15"/>
      <c r="L390" s="484"/>
      <c r="M390" s="550"/>
      <c r="N390" s="550"/>
      <c r="P390" s="15"/>
      <c r="Q390" s="15"/>
      <c r="R390" s="15"/>
      <c r="S390" s="15"/>
      <c r="T390" s="545"/>
    </row>
    <row r="391" spans="1:20" x14ac:dyDescent="0.25">
      <c r="A391" s="15"/>
      <c r="B391" s="15"/>
      <c r="C391" s="15"/>
      <c r="D391" s="16"/>
      <c r="H391" s="15"/>
      <c r="L391" s="484"/>
      <c r="M391" s="550"/>
      <c r="N391" s="550"/>
      <c r="P391" s="15"/>
      <c r="Q391" s="15"/>
      <c r="R391" s="15"/>
      <c r="S391" s="15"/>
      <c r="T391" s="545"/>
    </row>
    <row r="392" spans="1:20" x14ac:dyDescent="0.25">
      <c r="A392" s="15"/>
      <c r="B392" s="15"/>
      <c r="C392" s="15"/>
      <c r="D392" s="16"/>
      <c r="H392" s="15"/>
      <c r="L392" s="484"/>
      <c r="M392" s="550"/>
      <c r="N392" s="550"/>
      <c r="P392" s="15"/>
      <c r="Q392" s="15"/>
      <c r="R392" s="15"/>
      <c r="S392" s="15"/>
      <c r="T392" s="545"/>
    </row>
    <row r="393" spans="1:20" x14ac:dyDescent="0.25">
      <c r="A393" s="15"/>
      <c r="B393" s="15"/>
      <c r="C393" s="15"/>
      <c r="D393" s="16"/>
      <c r="H393" s="15"/>
      <c r="L393" s="484"/>
      <c r="M393" s="550"/>
      <c r="N393" s="550"/>
      <c r="P393" s="15"/>
      <c r="Q393" s="15"/>
      <c r="R393" s="15"/>
      <c r="S393" s="15"/>
      <c r="T393" s="545"/>
    </row>
    <row r="394" spans="1:20" x14ac:dyDescent="0.25">
      <c r="A394" s="15"/>
      <c r="B394" s="15"/>
      <c r="C394" s="15"/>
      <c r="D394" s="16"/>
      <c r="H394" s="15"/>
      <c r="L394" s="484"/>
      <c r="M394" s="550"/>
      <c r="N394" s="550"/>
      <c r="P394" s="15"/>
      <c r="Q394" s="15"/>
      <c r="R394" s="15"/>
      <c r="S394" s="15"/>
      <c r="T394" s="545"/>
    </row>
    <row r="395" spans="1:20" x14ac:dyDescent="0.25">
      <c r="A395" s="15"/>
      <c r="B395" s="15"/>
      <c r="C395" s="15"/>
      <c r="D395" s="16"/>
      <c r="H395" s="15"/>
      <c r="L395" s="484"/>
      <c r="M395" s="550"/>
      <c r="N395" s="550"/>
      <c r="P395" s="15"/>
      <c r="Q395" s="15"/>
      <c r="R395" s="15"/>
      <c r="S395" s="15"/>
      <c r="T395" s="545"/>
    </row>
    <row r="396" spans="1:20" x14ac:dyDescent="0.25">
      <c r="A396" s="15"/>
      <c r="B396" s="15"/>
      <c r="C396" s="15"/>
      <c r="D396" s="16"/>
      <c r="H396" s="15"/>
      <c r="L396" s="484"/>
      <c r="M396" s="550"/>
      <c r="N396" s="550"/>
      <c r="P396" s="15"/>
      <c r="Q396" s="15"/>
      <c r="R396" s="15"/>
      <c r="S396" s="15"/>
      <c r="T396" s="545"/>
    </row>
    <row r="397" spans="1:20" x14ac:dyDescent="0.25">
      <c r="A397" s="15"/>
      <c r="B397" s="15"/>
      <c r="C397" s="15"/>
      <c r="D397" s="16"/>
      <c r="H397" s="15"/>
      <c r="L397" s="484"/>
      <c r="M397" s="550"/>
      <c r="N397" s="550"/>
      <c r="P397" s="15"/>
      <c r="Q397" s="15"/>
      <c r="R397" s="15"/>
      <c r="S397" s="15"/>
      <c r="T397" s="545"/>
    </row>
    <row r="398" spans="1:20" x14ac:dyDescent="0.25">
      <c r="A398" s="15"/>
      <c r="B398" s="15"/>
      <c r="C398" s="15"/>
      <c r="D398" s="16"/>
      <c r="H398" s="15"/>
      <c r="L398" s="484"/>
      <c r="M398" s="550"/>
      <c r="N398" s="550"/>
      <c r="P398" s="15"/>
      <c r="Q398" s="15"/>
      <c r="R398" s="15"/>
      <c r="S398" s="15"/>
      <c r="T398" s="545"/>
    </row>
    <row r="399" spans="1:20" x14ac:dyDescent="0.25">
      <c r="A399" s="15"/>
      <c r="B399" s="15"/>
      <c r="C399" s="15"/>
      <c r="D399" s="16"/>
      <c r="H399" s="15"/>
      <c r="L399" s="484"/>
      <c r="M399" s="550"/>
      <c r="N399" s="550"/>
      <c r="P399" s="15"/>
      <c r="Q399" s="15"/>
      <c r="R399" s="15"/>
      <c r="S399" s="15"/>
      <c r="T399" s="545"/>
    </row>
    <row r="400" spans="1:20" x14ac:dyDescent="0.25">
      <c r="A400" s="15"/>
      <c r="B400" s="15"/>
      <c r="C400" s="15"/>
      <c r="D400" s="16"/>
      <c r="H400" s="15"/>
      <c r="L400" s="484"/>
      <c r="M400" s="550"/>
      <c r="N400" s="550"/>
      <c r="P400" s="15"/>
      <c r="Q400" s="15"/>
      <c r="R400" s="15"/>
      <c r="S400" s="15"/>
      <c r="T400" s="545"/>
    </row>
    <row r="401" spans="1:20" x14ac:dyDescent="0.25">
      <c r="A401" s="15"/>
      <c r="B401" s="15"/>
      <c r="C401" s="15"/>
      <c r="D401" s="16"/>
      <c r="H401" s="15"/>
      <c r="L401" s="484"/>
      <c r="M401" s="550"/>
      <c r="N401" s="550"/>
      <c r="P401" s="15"/>
      <c r="Q401" s="15"/>
      <c r="R401" s="15"/>
      <c r="S401" s="15"/>
      <c r="T401" s="545"/>
    </row>
    <row r="402" spans="1:20" x14ac:dyDescent="0.25">
      <c r="A402" s="15"/>
      <c r="B402" s="15"/>
      <c r="C402" s="15"/>
      <c r="D402" s="16"/>
      <c r="H402" s="15"/>
      <c r="L402" s="484"/>
      <c r="M402" s="550"/>
      <c r="N402" s="550"/>
      <c r="P402" s="15"/>
      <c r="Q402" s="15"/>
      <c r="R402" s="15"/>
      <c r="S402" s="15"/>
      <c r="T402" s="545"/>
    </row>
    <row r="403" spans="1:20" x14ac:dyDescent="0.25">
      <c r="A403" s="15"/>
      <c r="B403" s="15"/>
      <c r="C403" s="15"/>
      <c r="D403" s="16"/>
      <c r="H403" s="15"/>
      <c r="L403" s="484"/>
      <c r="M403" s="550"/>
      <c r="N403" s="550"/>
      <c r="P403" s="15"/>
      <c r="Q403" s="15"/>
      <c r="R403" s="15"/>
      <c r="S403" s="15"/>
      <c r="T403" s="545"/>
    </row>
    <row r="404" spans="1:20" x14ac:dyDescent="0.25">
      <c r="A404" s="15"/>
      <c r="B404" s="15"/>
      <c r="C404" s="15"/>
      <c r="D404" s="16"/>
      <c r="H404" s="15"/>
      <c r="L404" s="484"/>
      <c r="M404" s="550"/>
      <c r="N404" s="550"/>
      <c r="P404" s="15"/>
      <c r="Q404" s="15"/>
      <c r="R404" s="15"/>
      <c r="S404" s="15"/>
      <c r="T404" s="545"/>
    </row>
    <row r="405" spans="1:20" x14ac:dyDescent="0.25">
      <c r="A405" s="15"/>
      <c r="B405" s="15"/>
      <c r="C405" s="15"/>
      <c r="D405" s="16"/>
      <c r="H405" s="15"/>
      <c r="L405" s="484"/>
      <c r="M405" s="550"/>
      <c r="N405" s="550"/>
      <c r="P405" s="15"/>
      <c r="Q405" s="15"/>
      <c r="R405" s="15"/>
      <c r="S405" s="15"/>
      <c r="T405" s="545"/>
    </row>
    <row r="406" spans="1:20" x14ac:dyDescent="0.25">
      <c r="A406" s="15"/>
      <c r="B406" s="15"/>
      <c r="C406" s="15"/>
      <c r="D406" s="16"/>
      <c r="H406" s="15"/>
      <c r="L406" s="484"/>
      <c r="M406" s="550"/>
      <c r="N406" s="550"/>
      <c r="P406" s="15"/>
      <c r="Q406" s="15"/>
      <c r="R406" s="15"/>
      <c r="S406" s="15"/>
      <c r="T406" s="545"/>
    </row>
    <row r="407" spans="1:20" x14ac:dyDescent="0.25">
      <c r="A407" s="15"/>
      <c r="B407" s="15"/>
      <c r="C407" s="15"/>
      <c r="D407" s="16"/>
      <c r="H407" s="15"/>
      <c r="L407" s="484"/>
      <c r="M407" s="550"/>
      <c r="N407" s="550"/>
      <c r="P407" s="15"/>
      <c r="Q407" s="15"/>
      <c r="R407" s="15"/>
      <c r="S407" s="15"/>
      <c r="T407" s="545"/>
    </row>
    <row r="408" spans="1:20" x14ac:dyDescent="0.25">
      <c r="A408" s="15"/>
      <c r="B408" s="15"/>
      <c r="C408" s="15"/>
      <c r="D408" s="16"/>
      <c r="H408" s="15"/>
      <c r="L408" s="484"/>
      <c r="M408" s="550"/>
      <c r="N408" s="550"/>
      <c r="P408" s="15"/>
      <c r="Q408" s="15"/>
      <c r="R408" s="15"/>
      <c r="S408" s="15"/>
      <c r="T408" s="545"/>
    </row>
    <row r="409" spans="1:20" x14ac:dyDescent="0.25">
      <c r="A409" s="15"/>
      <c r="B409" s="15"/>
      <c r="C409" s="15"/>
      <c r="D409" s="16"/>
      <c r="H409" s="15"/>
      <c r="L409" s="484"/>
      <c r="M409" s="550"/>
      <c r="N409" s="550"/>
      <c r="P409" s="15"/>
      <c r="Q409" s="15"/>
      <c r="R409" s="15"/>
      <c r="S409" s="15"/>
      <c r="T409" s="545"/>
    </row>
    <row r="410" spans="1:20" x14ac:dyDescent="0.25">
      <c r="A410" s="15"/>
      <c r="B410" s="15"/>
      <c r="C410" s="15"/>
      <c r="D410" s="16"/>
      <c r="H410" s="15"/>
      <c r="L410" s="484"/>
      <c r="M410" s="550"/>
      <c r="N410" s="550"/>
      <c r="P410" s="15"/>
      <c r="Q410" s="15"/>
      <c r="R410" s="15"/>
      <c r="S410" s="15"/>
      <c r="T410" s="545"/>
    </row>
    <row r="411" spans="1:20" x14ac:dyDescent="0.25">
      <c r="A411" s="15"/>
      <c r="B411" s="15"/>
      <c r="C411" s="15"/>
      <c r="D411" s="16"/>
      <c r="H411" s="15"/>
      <c r="L411" s="484"/>
      <c r="M411" s="550"/>
      <c r="N411" s="550"/>
      <c r="P411" s="15"/>
      <c r="Q411" s="15"/>
      <c r="R411" s="15"/>
      <c r="S411" s="15"/>
      <c r="T411" s="545"/>
    </row>
    <row r="412" spans="1:20" x14ac:dyDescent="0.25">
      <c r="A412" s="15"/>
      <c r="B412" s="15"/>
      <c r="C412" s="15"/>
      <c r="D412" s="16"/>
      <c r="H412" s="15"/>
      <c r="L412" s="484"/>
      <c r="M412" s="550"/>
      <c r="N412" s="550"/>
      <c r="P412" s="15"/>
      <c r="Q412" s="15"/>
      <c r="R412" s="15"/>
      <c r="S412" s="15"/>
      <c r="T412" s="545"/>
    </row>
    <row r="413" spans="1:20" x14ac:dyDescent="0.25">
      <c r="A413" s="15"/>
      <c r="B413" s="15"/>
      <c r="C413" s="15"/>
      <c r="D413" s="16"/>
      <c r="H413" s="15"/>
      <c r="L413" s="484"/>
      <c r="M413" s="550"/>
      <c r="N413" s="550"/>
      <c r="P413" s="15"/>
      <c r="Q413" s="15"/>
      <c r="R413" s="15"/>
      <c r="S413" s="15"/>
      <c r="T413" s="545"/>
    </row>
    <row r="414" spans="1:20" x14ac:dyDescent="0.25">
      <c r="A414" s="15"/>
      <c r="B414" s="15"/>
      <c r="C414" s="15"/>
      <c r="D414" s="16"/>
      <c r="H414" s="15"/>
      <c r="L414" s="484"/>
      <c r="M414" s="550"/>
      <c r="N414" s="550"/>
      <c r="P414" s="15"/>
      <c r="Q414" s="15"/>
      <c r="R414" s="15"/>
      <c r="S414" s="15"/>
      <c r="T414" s="545"/>
    </row>
    <row r="415" spans="1:20" x14ac:dyDescent="0.25">
      <c r="A415" s="15"/>
      <c r="B415" s="15"/>
      <c r="C415" s="15"/>
      <c r="D415" s="16"/>
      <c r="H415" s="15"/>
      <c r="L415" s="484"/>
      <c r="M415" s="550"/>
      <c r="N415" s="550"/>
      <c r="P415" s="15"/>
      <c r="Q415" s="15"/>
      <c r="R415" s="15"/>
      <c r="S415" s="15"/>
      <c r="T415" s="545"/>
    </row>
    <row r="416" spans="1:20" x14ac:dyDescent="0.25">
      <c r="A416" s="15"/>
      <c r="B416" s="15"/>
      <c r="C416" s="15"/>
      <c r="D416" s="16"/>
      <c r="H416" s="15"/>
      <c r="L416" s="15"/>
      <c r="P416" s="15"/>
      <c r="Q416" s="15"/>
      <c r="R416" s="15"/>
      <c r="S416" s="15"/>
    </row>
    <row r="417" spans="1:19" x14ac:dyDescent="0.25">
      <c r="A417" s="15"/>
      <c r="B417" s="15"/>
      <c r="C417" s="15"/>
      <c r="D417" s="16"/>
      <c r="H417" s="15"/>
      <c r="L417" s="15"/>
      <c r="P417" s="15"/>
      <c r="Q417" s="15"/>
      <c r="R417" s="15"/>
      <c r="S417" s="15"/>
    </row>
    <row r="418" spans="1:19" x14ac:dyDescent="0.25">
      <c r="A418" s="15"/>
      <c r="B418" s="15"/>
      <c r="C418" s="15"/>
      <c r="D418" s="16"/>
      <c r="H418" s="15"/>
      <c r="L418" s="15"/>
      <c r="P418" s="15"/>
      <c r="Q418" s="15"/>
      <c r="R418" s="15"/>
      <c r="S418" s="15"/>
    </row>
    <row r="419" spans="1:19" x14ac:dyDescent="0.25">
      <c r="A419" s="15"/>
      <c r="B419" s="15"/>
      <c r="C419" s="15"/>
      <c r="D419" s="16"/>
      <c r="H419" s="15"/>
      <c r="L419" s="15"/>
      <c r="P419" s="15"/>
      <c r="Q419" s="15"/>
      <c r="R419" s="15"/>
      <c r="S419" s="15"/>
    </row>
    <row r="420" spans="1:19" x14ac:dyDescent="0.25">
      <c r="A420" s="15"/>
      <c r="B420" s="15"/>
      <c r="C420" s="15"/>
      <c r="D420" s="16"/>
      <c r="H420" s="15"/>
      <c r="L420" s="15"/>
      <c r="P420" s="15"/>
      <c r="Q420" s="15"/>
      <c r="R420" s="15"/>
      <c r="S420" s="15"/>
    </row>
    <row r="421" spans="1:19" x14ac:dyDescent="0.25">
      <c r="A421" s="15"/>
      <c r="B421" s="15"/>
      <c r="C421" s="15"/>
      <c r="D421" s="16"/>
      <c r="H421" s="15"/>
      <c r="L421" s="15"/>
      <c r="P421" s="15"/>
      <c r="Q421" s="15"/>
      <c r="R421" s="15"/>
      <c r="S421" s="15"/>
    </row>
    <row r="422" spans="1:19" x14ac:dyDescent="0.25">
      <c r="A422" s="15"/>
      <c r="B422" s="15"/>
      <c r="C422" s="15"/>
      <c r="D422" s="16"/>
      <c r="H422" s="15"/>
      <c r="L422" s="15"/>
      <c r="P422" s="15"/>
      <c r="Q422" s="15"/>
      <c r="R422" s="15"/>
      <c r="S422" s="15"/>
    </row>
    <row r="423" spans="1:19" x14ac:dyDescent="0.25">
      <c r="A423" s="15"/>
      <c r="B423" s="15"/>
      <c r="C423" s="15"/>
      <c r="D423" s="16"/>
      <c r="H423" s="15"/>
      <c r="L423" s="15"/>
      <c r="P423" s="15"/>
      <c r="Q423" s="15"/>
      <c r="R423" s="15"/>
      <c r="S423" s="15"/>
    </row>
    <row r="424" spans="1:19" x14ac:dyDescent="0.25">
      <c r="A424" s="15"/>
      <c r="B424" s="15"/>
      <c r="C424" s="15"/>
      <c r="D424" s="16"/>
      <c r="H424" s="15"/>
      <c r="L424" s="15"/>
      <c r="P424" s="15"/>
      <c r="Q424" s="15"/>
      <c r="R424" s="15"/>
      <c r="S424" s="15"/>
    </row>
    <row r="425" spans="1:19" x14ac:dyDescent="0.25">
      <c r="A425" s="15"/>
      <c r="B425" s="15"/>
      <c r="C425" s="15"/>
      <c r="D425" s="16"/>
      <c r="H425" s="15"/>
      <c r="L425" s="15"/>
      <c r="P425" s="15"/>
      <c r="Q425" s="15"/>
      <c r="R425" s="15"/>
      <c r="S425" s="15"/>
    </row>
    <row r="426" spans="1:19" x14ac:dyDescent="0.25">
      <c r="A426" s="15"/>
      <c r="B426" s="15"/>
      <c r="C426" s="15"/>
      <c r="D426" s="16"/>
      <c r="H426" s="15"/>
      <c r="L426" s="15"/>
      <c r="P426" s="15"/>
      <c r="Q426" s="15"/>
      <c r="R426" s="15"/>
      <c r="S426" s="15"/>
    </row>
    <row r="427" spans="1:19" x14ac:dyDescent="0.25">
      <c r="A427" s="15"/>
      <c r="B427" s="15"/>
      <c r="C427" s="15"/>
      <c r="D427" s="16"/>
      <c r="H427" s="15"/>
      <c r="L427" s="15"/>
      <c r="P427" s="15"/>
      <c r="Q427" s="15"/>
      <c r="R427" s="15"/>
      <c r="S427" s="15"/>
    </row>
    <row r="428" spans="1:19" x14ac:dyDescent="0.25">
      <c r="A428" s="15"/>
      <c r="B428" s="15"/>
      <c r="C428" s="15"/>
      <c r="D428" s="16"/>
      <c r="H428" s="15"/>
      <c r="L428" s="15"/>
      <c r="P428" s="15"/>
      <c r="Q428" s="15"/>
      <c r="R428" s="15"/>
      <c r="S428" s="15"/>
    </row>
    <row r="429" spans="1:19" x14ac:dyDescent="0.25">
      <c r="A429" s="15"/>
      <c r="B429" s="15"/>
      <c r="C429" s="15"/>
      <c r="D429" s="16"/>
      <c r="H429" s="15"/>
      <c r="L429" s="15"/>
      <c r="P429" s="15"/>
      <c r="Q429" s="15"/>
      <c r="R429" s="15"/>
      <c r="S429" s="15"/>
    </row>
    <row r="430" spans="1:19" x14ac:dyDescent="0.25">
      <c r="A430" s="15"/>
      <c r="B430" s="15"/>
      <c r="C430" s="15"/>
      <c r="D430" s="16"/>
      <c r="H430" s="15"/>
      <c r="L430" s="15"/>
      <c r="P430" s="15"/>
      <c r="Q430" s="15"/>
      <c r="R430" s="15"/>
      <c r="S430" s="15"/>
    </row>
    <row r="431" spans="1:19" x14ac:dyDescent="0.25">
      <c r="A431" s="15"/>
      <c r="B431" s="15"/>
      <c r="C431" s="15"/>
      <c r="D431" s="16"/>
      <c r="H431" s="15"/>
      <c r="L431" s="15"/>
      <c r="P431" s="15"/>
      <c r="Q431" s="15"/>
      <c r="R431" s="15"/>
      <c r="S431" s="15"/>
    </row>
    <row r="432" spans="1:19" x14ac:dyDescent="0.25">
      <c r="A432" s="15"/>
      <c r="B432" s="15"/>
      <c r="C432" s="15"/>
      <c r="D432" s="16"/>
      <c r="H432" s="15"/>
      <c r="L432" s="15"/>
      <c r="P432" s="15"/>
      <c r="Q432" s="15"/>
      <c r="R432" s="15"/>
      <c r="S432" s="15"/>
    </row>
    <row r="433" spans="1:19" x14ac:dyDescent="0.25">
      <c r="A433" s="15"/>
      <c r="B433" s="15"/>
      <c r="C433" s="15"/>
      <c r="D433" s="16"/>
      <c r="H433" s="15"/>
      <c r="L433" s="15"/>
      <c r="P433" s="15"/>
      <c r="Q433" s="15"/>
      <c r="R433" s="15"/>
      <c r="S433" s="15"/>
    </row>
    <row r="434" spans="1:19" x14ac:dyDescent="0.25">
      <c r="A434" s="15"/>
      <c r="B434" s="15"/>
      <c r="C434" s="15"/>
      <c r="D434" s="16"/>
      <c r="H434" s="15"/>
      <c r="L434" s="15"/>
      <c r="P434" s="15"/>
      <c r="Q434" s="15"/>
      <c r="R434" s="15"/>
      <c r="S434" s="15"/>
    </row>
    <row r="435" spans="1:19" x14ac:dyDescent="0.25">
      <c r="A435" s="15"/>
      <c r="B435" s="15"/>
      <c r="C435" s="15"/>
      <c r="D435" s="16"/>
      <c r="H435" s="15"/>
      <c r="L435" s="15"/>
      <c r="P435" s="15"/>
      <c r="Q435" s="15"/>
      <c r="R435" s="15"/>
      <c r="S435" s="15"/>
    </row>
    <row r="436" spans="1:19" x14ac:dyDescent="0.25">
      <c r="A436" s="15"/>
      <c r="B436" s="15"/>
      <c r="C436" s="15"/>
      <c r="D436" s="16"/>
      <c r="H436" s="15"/>
      <c r="L436" s="15"/>
      <c r="P436" s="15"/>
      <c r="Q436" s="15"/>
      <c r="R436" s="15"/>
      <c r="S436" s="15"/>
    </row>
    <row r="437" spans="1:19" x14ac:dyDescent="0.25">
      <c r="A437" s="15"/>
      <c r="B437" s="15"/>
      <c r="C437" s="15"/>
      <c r="D437" s="16"/>
      <c r="H437" s="15"/>
      <c r="L437" s="15"/>
      <c r="P437" s="15"/>
      <c r="Q437" s="15"/>
      <c r="R437" s="15"/>
      <c r="S437" s="15"/>
    </row>
    <row r="438" spans="1:19" x14ac:dyDescent="0.25">
      <c r="A438" s="15"/>
      <c r="B438" s="15"/>
      <c r="C438" s="15"/>
      <c r="D438" s="16"/>
      <c r="H438" s="15"/>
      <c r="L438" s="15"/>
      <c r="P438" s="15"/>
      <c r="Q438" s="15"/>
      <c r="R438" s="15"/>
      <c r="S438" s="15"/>
    </row>
    <row r="439" spans="1:19" x14ac:dyDescent="0.25">
      <c r="A439" s="15"/>
      <c r="B439" s="15"/>
      <c r="C439" s="15"/>
      <c r="D439" s="16"/>
      <c r="H439" s="15"/>
      <c r="L439" s="15"/>
      <c r="P439" s="15"/>
      <c r="Q439" s="15"/>
      <c r="R439" s="15"/>
      <c r="S439" s="15"/>
    </row>
    <row r="440" spans="1:19" x14ac:dyDescent="0.25">
      <c r="A440" s="15"/>
      <c r="B440" s="15"/>
      <c r="C440" s="15"/>
      <c r="D440" s="16"/>
      <c r="H440" s="15"/>
      <c r="L440" s="15"/>
      <c r="P440" s="15"/>
      <c r="Q440" s="15"/>
      <c r="R440" s="15"/>
      <c r="S440" s="15"/>
    </row>
    <row r="441" spans="1:19" x14ac:dyDescent="0.25">
      <c r="A441" s="15"/>
      <c r="B441" s="15"/>
      <c r="C441" s="15"/>
      <c r="D441" s="16"/>
      <c r="H441" s="15"/>
      <c r="L441" s="15"/>
      <c r="P441" s="15"/>
      <c r="Q441" s="15"/>
      <c r="R441" s="15"/>
      <c r="S441" s="15"/>
    </row>
    <row r="442" spans="1:19" x14ac:dyDescent="0.25">
      <c r="A442" s="15"/>
      <c r="B442" s="15"/>
      <c r="C442" s="15"/>
      <c r="D442" s="16"/>
      <c r="H442" s="15"/>
      <c r="L442" s="15"/>
      <c r="P442" s="15"/>
      <c r="Q442" s="15"/>
      <c r="R442" s="15"/>
      <c r="S442" s="15"/>
    </row>
    <row r="443" spans="1:19" x14ac:dyDescent="0.25">
      <c r="A443" s="15"/>
      <c r="B443" s="15"/>
      <c r="C443" s="15"/>
      <c r="D443" s="16"/>
      <c r="H443" s="15"/>
      <c r="L443" s="15"/>
      <c r="P443" s="15"/>
      <c r="Q443" s="15"/>
      <c r="R443" s="15"/>
      <c r="S443" s="15"/>
    </row>
    <row r="444" spans="1:19" x14ac:dyDescent="0.25">
      <c r="A444" s="15"/>
      <c r="B444" s="15"/>
      <c r="C444" s="15"/>
      <c r="D444" s="16"/>
      <c r="H444" s="15"/>
      <c r="L444" s="15"/>
      <c r="P444" s="15"/>
      <c r="Q444" s="15"/>
      <c r="R444" s="15"/>
      <c r="S444" s="15"/>
    </row>
    <row r="445" spans="1:19" x14ac:dyDescent="0.25">
      <c r="A445" s="15"/>
      <c r="B445" s="15"/>
      <c r="C445" s="15"/>
      <c r="D445" s="16"/>
      <c r="H445" s="15"/>
      <c r="L445" s="15"/>
      <c r="P445" s="15"/>
      <c r="Q445" s="15"/>
      <c r="R445" s="15"/>
      <c r="S445" s="15"/>
    </row>
    <row r="446" spans="1:19" x14ac:dyDescent="0.25">
      <c r="A446" s="15"/>
      <c r="B446" s="15"/>
      <c r="C446" s="15"/>
      <c r="D446" s="16"/>
      <c r="H446" s="15"/>
      <c r="L446" s="15"/>
      <c r="P446" s="15"/>
      <c r="Q446" s="15"/>
      <c r="R446" s="15"/>
      <c r="S446" s="15"/>
    </row>
    <row r="447" spans="1:19" x14ac:dyDescent="0.25">
      <c r="A447" s="15"/>
      <c r="B447" s="15"/>
      <c r="C447" s="15"/>
      <c r="D447" s="16"/>
      <c r="H447" s="15"/>
      <c r="L447" s="15"/>
      <c r="P447" s="15"/>
      <c r="Q447" s="15"/>
      <c r="R447" s="15"/>
      <c r="S447" s="15"/>
    </row>
    <row r="448" spans="1:19" x14ac:dyDescent="0.25">
      <c r="A448" s="15"/>
      <c r="B448" s="15"/>
      <c r="C448" s="15"/>
      <c r="D448" s="16"/>
      <c r="H448" s="15"/>
      <c r="L448" s="15"/>
      <c r="P448" s="15"/>
      <c r="Q448" s="15"/>
      <c r="R448" s="15"/>
      <c r="S448" s="15"/>
    </row>
    <row r="449" spans="1:19" x14ac:dyDescent="0.25">
      <c r="A449" s="15"/>
      <c r="B449" s="15"/>
      <c r="C449" s="15"/>
      <c r="D449" s="16"/>
      <c r="H449" s="15"/>
      <c r="L449" s="15"/>
      <c r="P449" s="15"/>
      <c r="Q449" s="15"/>
      <c r="R449" s="15"/>
      <c r="S449" s="15"/>
    </row>
    <row r="450" spans="1:19" x14ac:dyDescent="0.25">
      <c r="A450" s="15"/>
      <c r="B450" s="15"/>
      <c r="C450" s="15"/>
      <c r="D450" s="16"/>
      <c r="H450" s="15"/>
      <c r="L450" s="15"/>
      <c r="P450" s="15"/>
      <c r="Q450" s="15"/>
      <c r="R450" s="15"/>
      <c r="S450" s="15"/>
    </row>
    <row r="451" spans="1:19" x14ac:dyDescent="0.25">
      <c r="A451" s="15"/>
      <c r="B451" s="15"/>
      <c r="C451" s="15"/>
      <c r="D451" s="16"/>
      <c r="H451" s="15"/>
      <c r="L451" s="15"/>
      <c r="P451" s="15"/>
      <c r="Q451" s="15"/>
      <c r="R451" s="15"/>
      <c r="S451" s="15"/>
    </row>
    <row r="452" spans="1:19" x14ac:dyDescent="0.25">
      <c r="A452" s="15"/>
      <c r="B452" s="15"/>
      <c r="C452" s="15"/>
      <c r="D452" s="16"/>
      <c r="H452" s="15"/>
      <c r="L452" s="15"/>
      <c r="P452" s="15"/>
      <c r="Q452" s="15"/>
      <c r="R452" s="15"/>
      <c r="S452" s="15"/>
    </row>
    <row r="453" spans="1:19" x14ac:dyDescent="0.25">
      <c r="A453" s="15"/>
      <c r="B453" s="15"/>
      <c r="C453" s="15"/>
      <c r="D453" s="16"/>
      <c r="H453" s="15"/>
      <c r="L453" s="15"/>
      <c r="P453" s="15"/>
      <c r="Q453" s="15"/>
      <c r="R453" s="15"/>
      <c r="S453" s="15"/>
    </row>
    <row r="454" spans="1:19" x14ac:dyDescent="0.25">
      <c r="A454" s="15"/>
      <c r="B454" s="15"/>
      <c r="C454" s="15"/>
      <c r="D454" s="16"/>
      <c r="H454" s="15"/>
      <c r="L454" s="15"/>
      <c r="P454" s="15"/>
      <c r="Q454" s="15"/>
      <c r="R454" s="15"/>
      <c r="S454" s="15"/>
    </row>
    <row r="455" spans="1:19" x14ac:dyDescent="0.25">
      <c r="A455" s="15"/>
      <c r="B455" s="15"/>
      <c r="C455" s="15"/>
      <c r="D455" s="16"/>
      <c r="H455" s="15"/>
      <c r="L455" s="15"/>
      <c r="P455" s="15"/>
      <c r="Q455" s="15"/>
      <c r="R455" s="15"/>
      <c r="S455" s="15"/>
    </row>
    <row r="456" spans="1:19" x14ac:dyDescent="0.25">
      <c r="A456" s="15"/>
      <c r="B456" s="15"/>
      <c r="C456" s="15"/>
      <c r="D456" s="16"/>
      <c r="H456" s="15"/>
      <c r="L456" s="15"/>
      <c r="P456" s="15"/>
      <c r="Q456" s="15"/>
      <c r="R456" s="15"/>
      <c r="S456" s="15"/>
    </row>
    <row r="457" spans="1:19" x14ac:dyDescent="0.25">
      <c r="A457" s="15"/>
      <c r="B457" s="15"/>
      <c r="C457" s="15"/>
      <c r="D457" s="16"/>
      <c r="H457" s="15"/>
      <c r="L457" s="15"/>
      <c r="P457" s="15"/>
      <c r="Q457" s="15"/>
      <c r="R457" s="15"/>
      <c r="S457" s="15"/>
    </row>
    <row r="458" spans="1:19" x14ac:dyDescent="0.25">
      <c r="A458" s="15"/>
      <c r="B458" s="15"/>
      <c r="C458" s="15"/>
      <c r="D458" s="16"/>
      <c r="H458" s="15"/>
      <c r="L458" s="15"/>
      <c r="P458" s="15"/>
      <c r="Q458" s="15"/>
      <c r="R458" s="15"/>
      <c r="S458" s="15"/>
    </row>
    <row r="459" spans="1:19" x14ac:dyDescent="0.25">
      <c r="A459" s="15"/>
      <c r="B459" s="15"/>
      <c r="C459" s="15"/>
      <c r="D459" s="16"/>
      <c r="H459" s="15"/>
      <c r="L459" s="15"/>
      <c r="P459" s="15"/>
      <c r="Q459" s="15"/>
      <c r="R459" s="15"/>
      <c r="S459" s="15"/>
    </row>
    <row r="460" spans="1:19" x14ac:dyDescent="0.25">
      <c r="A460" s="15"/>
      <c r="B460" s="15"/>
      <c r="C460" s="15"/>
      <c r="D460" s="16"/>
      <c r="H460" s="15"/>
      <c r="L460" s="15"/>
      <c r="P460" s="15"/>
      <c r="Q460" s="15"/>
      <c r="R460" s="15"/>
      <c r="S460" s="15"/>
    </row>
    <row r="461" spans="1:19" x14ac:dyDescent="0.25">
      <c r="A461" s="15"/>
      <c r="B461" s="15"/>
      <c r="C461" s="15"/>
      <c r="D461" s="16"/>
      <c r="H461" s="15"/>
      <c r="L461" s="15"/>
      <c r="P461" s="15"/>
      <c r="Q461" s="15"/>
      <c r="R461" s="15"/>
      <c r="S461" s="15"/>
    </row>
    <row r="462" spans="1:19" x14ac:dyDescent="0.25">
      <c r="A462" s="15"/>
      <c r="B462" s="15"/>
      <c r="C462" s="15"/>
      <c r="D462" s="16"/>
      <c r="H462" s="15"/>
      <c r="L462" s="15"/>
      <c r="P462" s="15"/>
      <c r="Q462" s="15"/>
      <c r="R462" s="15"/>
      <c r="S462" s="15"/>
    </row>
    <row r="463" spans="1:19" x14ac:dyDescent="0.25">
      <c r="A463" s="15"/>
      <c r="B463" s="15"/>
      <c r="C463" s="15"/>
      <c r="D463" s="16"/>
      <c r="H463" s="15"/>
      <c r="L463" s="15"/>
      <c r="P463" s="15"/>
      <c r="Q463" s="15"/>
      <c r="R463" s="15"/>
      <c r="S463" s="15"/>
    </row>
    <row r="464" spans="1:19" x14ac:dyDescent="0.25">
      <c r="A464" s="15"/>
      <c r="B464" s="15"/>
      <c r="C464" s="15"/>
      <c r="D464" s="16"/>
      <c r="H464" s="15"/>
      <c r="L464" s="15"/>
      <c r="P464" s="15"/>
      <c r="Q464" s="15"/>
      <c r="R464" s="15"/>
      <c r="S464" s="15"/>
    </row>
    <row r="465" spans="1:19" x14ac:dyDescent="0.25">
      <c r="A465" s="15"/>
      <c r="B465" s="15"/>
      <c r="C465" s="15"/>
      <c r="D465" s="16"/>
      <c r="H465" s="15"/>
      <c r="L465" s="15"/>
      <c r="P465" s="15"/>
      <c r="Q465" s="15"/>
      <c r="R465" s="15"/>
      <c r="S465" s="15"/>
    </row>
    <row r="466" spans="1:19" x14ac:dyDescent="0.25">
      <c r="A466" s="15"/>
      <c r="B466" s="15"/>
      <c r="C466" s="15"/>
      <c r="D466" s="16"/>
      <c r="H466" s="15"/>
      <c r="L466" s="15"/>
      <c r="P466" s="15"/>
      <c r="Q466" s="15"/>
      <c r="R466" s="15"/>
      <c r="S466" s="15"/>
    </row>
    <row r="467" spans="1:19" x14ac:dyDescent="0.25">
      <c r="A467" s="15"/>
      <c r="B467" s="15"/>
      <c r="C467" s="15"/>
      <c r="D467" s="16"/>
      <c r="H467" s="15"/>
      <c r="L467" s="15"/>
      <c r="P467" s="15"/>
      <c r="Q467" s="15"/>
      <c r="R467" s="15"/>
      <c r="S467" s="15"/>
    </row>
    <row r="468" spans="1:19" x14ac:dyDescent="0.25">
      <c r="A468" s="15"/>
      <c r="B468" s="15"/>
      <c r="C468" s="15"/>
      <c r="D468" s="16"/>
      <c r="H468" s="15"/>
      <c r="L468" s="15"/>
      <c r="P468" s="15"/>
      <c r="Q468" s="15"/>
      <c r="R468" s="15"/>
      <c r="S468" s="15"/>
    </row>
    <row r="469" spans="1:19" x14ac:dyDescent="0.25">
      <c r="A469" s="15"/>
      <c r="B469" s="15"/>
      <c r="C469" s="15"/>
      <c r="D469" s="16"/>
      <c r="H469" s="15"/>
      <c r="L469" s="15"/>
      <c r="P469" s="15"/>
      <c r="Q469" s="15"/>
      <c r="R469" s="15"/>
      <c r="S469" s="15"/>
    </row>
    <row r="470" spans="1:19" x14ac:dyDescent="0.25">
      <c r="A470" s="15"/>
      <c r="B470" s="15"/>
      <c r="C470" s="15"/>
      <c r="D470" s="16"/>
      <c r="H470" s="15"/>
      <c r="L470" s="15"/>
      <c r="P470" s="15"/>
      <c r="Q470" s="15"/>
      <c r="R470" s="15"/>
      <c r="S470" s="15"/>
    </row>
    <row r="471" spans="1:19" x14ac:dyDescent="0.25">
      <c r="A471" s="15"/>
      <c r="B471" s="15"/>
      <c r="C471" s="15"/>
      <c r="D471" s="16"/>
      <c r="H471" s="15"/>
      <c r="L471" s="15"/>
      <c r="P471" s="15"/>
      <c r="Q471" s="15"/>
      <c r="R471" s="15"/>
      <c r="S471" s="15"/>
    </row>
    <row r="472" spans="1:19" x14ac:dyDescent="0.25">
      <c r="A472" s="15"/>
      <c r="B472" s="15"/>
      <c r="C472" s="15"/>
      <c r="D472" s="16"/>
      <c r="H472" s="15"/>
      <c r="L472" s="15"/>
      <c r="P472" s="15"/>
      <c r="Q472" s="15"/>
      <c r="R472" s="15"/>
      <c r="S472" s="15"/>
    </row>
    <row r="473" spans="1:19" x14ac:dyDescent="0.25">
      <c r="A473" s="15"/>
      <c r="B473" s="15"/>
      <c r="C473" s="15"/>
      <c r="D473" s="16"/>
      <c r="H473" s="15"/>
      <c r="L473" s="15"/>
      <c r="P473" s="15"/>
      <c r="Q473" s="15"/>
      <c r="R473" s="15"/>
      <c r="S473" s="15"/>
    </row>
    <row r="474" spans="1:19" x14ac:dyDescent="0.25">
      <c r="A474" s="15"/>
      <c r="B474" s="15"/>
      <c r="C474" s="15"/>
      <c r="D474" s="16"/>
      <c r="H474" s="15"/>
      <c r="L474" s="15"/>
      <c r="P474" s="15"/>
      <c r="Q474" s="15"/>
      <c r="R474" s="15"/>
      <c r="S474" s="15"/>
    </row>
    <row r="475" spans="1:19" x14ac:dyDescent="0.25">
      <c r="A475" s="15"/>
      <c r="B475" s="15"/>
      <c r="C475" s="15"/>
      <c r="D475" s="16"/>
      <c r="H475" s="15"/>
      <c r="L475" s="15"/>
      <c r="P475" s="15"/>
      <c r="Q475" s="15"/>
      <c r="R475" s="15"/>
      <c r="S475" s="15"/>
    </row>
    <row r="476" spans="1:19" x14ac:dyDescent="0.25">
      <c r="A476" s="15"/>
      <c r="B476" s="15"/>
      <c r="C476" s="15"/>
      <c r="D476" s="16"/>
      <c r="H476" s="15"/>
      <c r="L476" s="15"/>
      <c r="P476" s="15"/>
      <c r="Q476" s="15"/>
      <c r="R476" s="15"/>
      <c r="S476" s="15"/>
    </row>
    <row r="477" spans="1:19" x14ac:dyDescent="0.25">
      <c r="A477" s="15"/>
      <c r="B477" s="15"/>
      <c r="C477" s="15"/>
      <c r="D477" s="16"/>
      <c r="H477" s="15"/>
      <c r="L477" s="15"/>
      <c r="P477" s="15"/>
      <c r="Q477" s="15"/>
      <c r="R477" s="15"/>
      <c r="S477" s="15"/>
    </row>
    <row r="478" spans="1:19" x14ac:dyDescent="0.25">
      <c r="A478" s="15"/>
      <c r="B478" s="15"/>
      <c r="C478" s="15"/>
      <c r="D478" s="16"/>
      <c r="H478" s="15"/>
      <c r="L478" s="15"/>
      <c r="P478" s="15"/>
      <c r="Q478" s="15"/>
      <c r="R478" s="15"/>
      <c r="S478" s="15"/>
    </row>
    <row r="479" spans="1:19" x14ac:dyDescent="0.25">
      <c r="A479" s="15"/>
      <c r="B479" s="15"/>
      <c r="C479" s="15"/>
      <c r="D479" s="16"/>
      <c r="H479" s="15"/>
      <c r="L479" s="15"/>
      <c r="P479" s="15"/>
      <c r="Q479" s="15"/>
      <c r="R479" s="15"/>
      <c r="S479" s="15"/>
    </row>
    <row r="480" spans="1:19" x14ac:dyDescent="0.25">
      <c r="A480" s="15"/>
      <c r="B480" s="15"/>
      <c r="C480" s="15"/>
      <c r="D480" s="16"/>
      <c r="H480" s="15"/>
      <c r="L480" s="15"/>
      <c r="P480" s="15"/>
      <c r="Q480" s="15"/>
      <c r="R480" s="15"/>
      <c r="S480" s="15"/>
    </row>
    <row r="481" spans="1:19" x14ac:dyDescent="0.25">
      <c r="A481" s="15"/>
      <c r="B481" s="15"/>
      <c r="C481" s="15"/>
      <c r="D481" s="16"/>
      <c r="H481" s="15"/>
      <c r="L481" s="15"/>
      <c r="P481" s="15"/>
      <c r="Q481" s="15"/>
      <c r="R481" s="15"/>
      <c r="S481" s="15"/>
    </row>
    <row r="482" spans="1:19" x14ac:dyDescent="0.25">
      <c r="A482" s="15"/>
      <c r="B482" s="15"/>
      <c r="C482" s="15"/>
      <c r="D482" s="16"/>
      <c r="H482" s="15"/>
      <c r="L482" s="15"/>
      <c r="P482" s="15"/>
      <c r="Q482" s="15"/>
      <c r="R482" s="15"/>
      <c r="S482" s="15"/>
    </row>
    <row r="483" spans="1:19" x14ac:dyDescent="0.25">
      <c r="A483" s="15"/>
      <c r="B483" s="15"/>
      <c r="C483" s="15"/>
      <c r="D483" s="16"/>
      <c r="H483" s="15"/>
      <c r="L483" s="15"/>
      <c r="P483" s="15"/>
      <c r="Q483" s="15"/>
      <c r="R483" s="15"/>
      <c r="S483" s="15"/>
    </row>
    <row r="484" spans="1:19" x14ac:dyDescent="0.25">
      <c r="A484" s="15"/>
      <c r="B484" s="15"/>
      <c r="C484" s="15"/>
      <c r="D484" s="16"/>
      <c r="H484" s="15"/>
      <c r="L484" s="15"/>
      <c r="P484" s="15"/>
      <c r="Q484" s="15"/>
      <c r="R484" s="15"/>
      <c r="S484" s="15"/>
    </row>
    <row r="485" spans="1:19" x14ac:dyDescent="0.25">
      <c r="A485" s="15"/>
      <c r="B485" s="15"/>
      <c r="C485" s="15"/>
      <c r="D485" s="16"/>
      <c r="H485" s="15"/>
      <c r="L485" s="15"/>
      <c r="P485" s="15"/>
      <c r="Q485" s="15"/>
      <c r="R485" s="15"/>
      <c r="S485" s="15"/>
    </row>
    <row r="486" spans="1:19" x14ac:dyDescent="0.25">
      <c r="A486" s="15"/>
      <c r="B486" s="15"/>
      <c r="C486" s="15"/>
      <c r="D486" s="16"/>
      <c r="H486" s="15"/>
      <c r="L486" s="15"/>
      <c r="P486" s="15"/>
      <c r="Q486" s="15"/>
      <c r="R486" s="15"/>
      <c r="S486" s="15"/>
    </row>
    <row r="487" spans="1:19" x14ac:dyDescent="0.25">
      <c r="A487" s="15"/>
      <c r="B487" s="15"/>
      <c r="C487" s="15"/>
      <c r="D487" s="16"/>
      <c r="H487" s="15"/>
      <c r="L487" s="15"/>
      <c r="P487" s="15"/>
      <c r="Q487" s="15"/>
      <c r="R487" s="15"/>
      <c r="S487" s="15"/>
    </row>
    <row r="488" spans="1:19" x14ac:dyDescent="0.25">
      <c r="A488" s="15"/>
      <c r="B488" s="15"/>
      <c r="C488" s="15"/>
      <c r="D488" s="16"/>
      <c r="H488" s="15"/>
      <c r="L488" s="15"/>
      <c r="P488" s="15"/>
      <c r="Q488" s="15"/>
      <c r="R488" s="15"/>
      <c r="S488" s="15"/>
    </row>
    <row r="489" spans="1:19" x14ac:dyDescent="0.25">
      <c r="A489" s="15"/>
      <c r="B489" s="15"/>
      <c r="C489" s="15"/>
      <c r="D489" s="16"/>
      <c r="H489" s="15"/>
      <c r="L489" s="15"/>
      <c r="P489" s="15"/>
      <c r="Q489" s="15"/>
      <c r="R489" s="15"/>
      <c r="S489" s="15"/>
    </row>
    <row r="490" spans="1:19" x14ac:dyDescent="0.25">
      <c r="A490" s="15"/>
      <c r="B490" s="15"/>
      <c r="C490" s="15"/>
      <c r="D490" s="16"/>
      <c r="H490" s="15"/>
      <c r="L490" s="15"/>
      <c r="P490" s="15"/>
      <c r="Q490" s="15"/>
      <c r="R490" s="15"/>
      <c r="S490" s="15"/>
    </row>
    <row r="491" spans="1:19" x14ac:dyDescent="0.25">
      <c r="A491" s="15"/>
      <c r="B491" s="15"/>
      <c r="C491" s="15"/>
      <c r="D491" s="16"/>
      <c r="H491" s="15"/>
      <c r="L491" s="15"/>
      <c r="P491" s="15"/>
      <c r="Q491" s="15"/>
      <c r="R491" s="15"/>
      <c r="S491" s="15"/>
    </row>
    <row r="492" spans="1:19" x14ac:dyDescent="0.25">
      <c r="A492" s="15"/>
      <c r="B492" s="15"/>
      <c r="C492" s="15"/>
      <c r="D492" s="16"/>
      <c r="H492" s="15"/>
      <c r="L492" s="15"/>
      <c r="P492" s="15"/>
      <c r="Q492" s="15"/>
      <c r="R492" s="15"/>
      <c r="S492" s="15"/>
    </row>
    <row r="493" spans="1:19" x14ac:dyDescent="0.25">
      <c r="A493" s="15"/>
      <c r="B493" s="15"/>
      <c r="C493" s="15"/>
      <c r="D493" s="16"/>
      <c r="H493" s="15"/>
      <c r="L493" s="15"/>
      <c r="P493" s="15"/>
      <c r="Q493" s="15"/>
      <c r="R493" s="15"/>
      <c r="S493" s="15"/>
    </row>
    <row r="494" spans="1:19" x14ac:dyDescent="0.25">
      <c r="A494" s="15"/>
      <c r="B494" s="15"/>
      <c r="C494" s="15"/>
      <c r="D494" s="16"/>
      <c r="H494" s="15"/>
      <c r="L494" s="15"/>
      <c r="P494" s="15"/>
      <c r="Q494" s="15"/>
      <c r="R494" s="15"/>
      <c r="S494" s="15"/>
    </row>
    <row r="495" spans="1:19" x14ac:dyDescent="0.25">
      <c r="A495" s="15"/>
      <c r="B495" s="15"/>
      <c r="C495" s="15"/>
      <c r="D495" s="16"/>
      <c r="H495" s="15"/>
      <c r="L495" s="15"/>
      <c r="P495" s="15"/>
      <c r="Q495" s="15"/>
      <c r="R495" s="15"/>
      <c r="S495" s="15"/>
    </row>
    <row r="496" spans="1:19" x14ac:dyDescent="0.25">
      <c r="A496" s="15"/>
      <c r="B496" s="15"/>
      <c r="C496" s="15"/>
      <c r="D496" s="16"/>
      <c r="H496" s="15"/>
      <c r="L496" s="15"/>
      <c r="P496" s="15"/>
      <c r="Q496" s="15"/>
      <c r="R496" s="15"/>
      <c r="S496" s="15"/>
    </row>
    <row r="497" spans="1:19" x14ac:dyDescent="0.25">
      <c r="A497" s="15"/>
      <c r="B497" s="15"/>
      <c r="C497" s="15"/>
      <c r="D497" s="16"/>
      <c r="H497" s="15"/>
      <c r="L497" s="15"/>
      <c r="P497" s="15"/>
      <c r="Q497" s="15"/>
      <c r="R497" s="15"/>
      <c r="S497" s="15"/>
    </row>
    <row r="498" spans="1:19" x14ac:dyDescent="0.25">
      <c r="A498" s="15"/>
      <c r="B498" s="15"/>
      <c r="C498" s="15"/>
      <c r="D498" s="16"/>
      <c r="H498" s="15"/>
      <c r="L498" s="15"/>
      <c r="P498" s="15"/>
      <c r="Q498" s="15"/>
      <c r="R498" s="15"/>
      <c r="S498" s="15"/>
    </row>
    <row r="499" spans="1:19" x14ac:dyDescent="0.25">
      <c r="A499" s="15"/>
      <c r="B499" s="15"/>
      <c r="C499" s="15"/>
      <c r="D499" s="16"/>
      <c r="H499" s="15"/>
      <c r="L499" s="15"/>
      <c r="P499" s="15"/>
      <c r="Q499" s="15"/>
      <c r="R499" s="15"/>
      <c r="S499" s="15"/>
    </row>
    <row r="500" spans="1:19" x14ac:dyDescent="0.25">
      <c r="A500" s="15"/>
      <c r="B500" s="15"/>
      <c r="C500" s="15"/>
      <c r="D500" s="16"/>
      <c r="H500" s="15"/>
      <c r="L500" s="15"/>
      <c r="P500" s="15"/>
      <c r="Q500" s="15"/>
      <c r="R500" s="15"/>
      <c r="S500" s="15"/>
    </row>
    <row r="501" spans="1:19" x14ac:dyDescent="0.25">
      <c r="A501" s="15"/>
      <c r="B501" s="15"/>
      <c r="C501" s="15"/>
      <c r="D501" s="16"/>
      <c r="H501" s="15"/>
      <c r="L501" s="15"/>
      <c r="P501" s="15"/>
      <c r="Q501" s="15"/>
      <c r="R501" s="15"/>
      <c r="S501" s="15"/>
    </row>
    <row r="502" spans="1:19" x14ac:dyDescent="0.25">
      <c r="A502" s="15"/>
      <c r="B502" s="15"/>
      <c r="C502" s="15"/>
      <c r="D502" s="16"/>
      <c r="H502" s="15"/>
      <c r="L502" s="15"/>
      <c r="P502" s="15"/>
      <c r="Q502" s="15"/>
      <c r="R502" s="15"/>
      <c r="S502" s="15"/>
    </row>
    <row r="503" spans="1:19" x14ac:dyDescent="0.25">
      <c r="A503" s="15"/>
      <c r="B503" s="15"/>
      <c r="C503" s="15"/>
      <c r="D503" s="16"/>
      <c r="H503" s="15"/>
      <c r="L503" s="15"/>
      <c r="P503" s="15"/>
      <c r="Q503" s="15"/>
      <c r="R503" s="15"/>
      <c r="S503" s="15"/>
    </row>
    <row r="504" spans="1:19" x14ac:dyDescent="0.25">
      <c r="A504" s="15"/>
      <c r="B504" s="15"/>
      <c r="C504" s="15"/>
      <c r="D504" s="16"/>
      <c r="H504" s="15"/>
      <c r="L504" s="15"/>
      <c r="P504" s="15"/>
      <c r="Q504" s="15"/>
      <c r="R504" s="15"/>
      <c r="S504" s="15"/>
    </row>
    <row r="505" spans="1:19" x14ac:dyDescent="0.25">
      <c r="A505" s="15"/>
      <c r="B505" s="15"/>
      <c r="C505" s="15"/>
      <c r="D505" s="16"/>
      <c r="H505" s="15"/>
      <c r="L505" s="15"/>
      <c r="P505" s="15"/>
      <c r="Q505" s="15"/>
      <c r="R505" s="15"/>
      <c r="S505" s="15"/>
    </row>
    <row r="506" spans="1:19" x14ac:dyDescent="0.25">
      <c r="A506" s="15"/>
      <c r="B506" s="15"/>
      <c r="C506" s="15"/>
      <c r="D506" s="16"/>
      <c r="H506" s="15"/>
      <c r="L506" s="15"/>
      <c r="P506" s="15"/>
      <c r="Q506" s="15"/>
      <c r="R506" s="15"/>
      <c r="S506" s="15"/>
    </row>
    <row r="507" spans="1:19" x14ac:dyDescent="0.25">
      <c r="A507" s="15"/>
      <c r="B507" s="15"/>
      <c r="C507" s="15"/>
      <c r="D507" s="16"/>
      <c r="H507" s="15"/>
      <c r="L507" s="15"/>
      <c r="P507" s="15"/>
      <c r="Q507" s="15"/>
      <c r="R507" s="15"/>
      <c r="S507" s="15"/>
    </row>
    <row r="508" spans="1:19" x14ac:dyDescent="0.25">
      <c r="A508" s="15"/>
      <c r="B508" s="15"/>
      <c r="C508" s="15"/>
      <c r="D508" s="16"/>
      <c r="H508" s="15"/>
      <c r="L508" s="15"/>
      <c r="P508" s="15"/>
      <c r="Q508" s="15"/>
      <c r="R508" s="15"/>
      <c r="S508" s="15"/>
    </row>
    <row r="509" spans="1:19" x14ac:dyDescent="0.25">
      <c r="A509" s="15"/>
      <c r="B509" s="15"/>
      <c r="C509" s="15"/>
      <c r="D509" s="16"/>
      <c r="H509" s="15"/>
      <c r="L509" s="15"/>
      <c r="P509" s="15"/>
      <c r="Q509" s="15"/>
      <c r="R509" s="15"/>
      <c r="S509" s="15"/>
    </row>
    <row r="510" spans="1:19" x14ac:dyDescent="0.25">
      <c r="A510" s="15"/>
      <c r="B510" s="15"/>
      <c r="C510" s="15"/>
      <c r="D510" s="16"/>
      <c r="H510" s="15"/>
      <c r="L510" s="15"/>
      <c r="P510" s="15"/>
      <c r="Q510" s="15"/>
      <c r="R510" s="15"/>
      <c r="S510" s="15"/>
    </row>
    <row r="511" spans="1:19" x14ac:dyDescent="0.25">
      <c r="A511" s="15"/>
      <c r="B511" s="15"/>
      <c r="C511" s="15"/>
      <c r="D511" s="16"/>
      <c r="H511" s="15"/>
      <c r="L511" s="15"/>
      <c r="P511" s="15"/>
      <c r="Q511" s="15"/>
      <c r="R511" s="15"/>
      <c r="S511" s="15"/>
    </row>
    <row r="512" spans="1:19" x14ac:dyDescent="0.25">
      <c r="A512" s="15"/>
      <c r="B512" s="15"/>
      <c r="C512" s="15"/>
      <c r="D512" s="16"/>
      <c r="H512" s="15"/>
      <c r="L512" s="15"/>
      <c r="P512" s="15"/>
      <c r="Q512" s="15"/>
      <c r="R512" s="15"/>
      <c r="S512" s="15"/>
    </row>
    <row r="513" spans="1:19" x14ac:dyDescent="0.25">
      <c r="A513" s="15"/>
      <c r="B513" s="15"/>
      <c r="C513" s="15"/>
      <c r="D513" s="16"/>
      <c r="H513" s="15"/>
      <c r="L513" s="15"/>
      <c r="P513" s="15"/>
      <c r="Q513" s="15"/>
      <c r="R513" s="15"/>
      <c r="S513" s="15"/>
    </row>
    <row r="514" spans="1:19" x14ac:dyDescent="0.25">
      <c r="A514" s="15"/>
      <c r="B514" s="15"/>
      <c r="C514" s="15"/>
      <c r="D514" s="16"/>
      <c r="H514" s="15"/>
      <c r="L514" s="15"/>
      <c r="P514" s="15"/>
      <c r="Q514" s="15"/>
      <c r="R514" s="15"/>
      <c r="S514" s="15"/>
    </row>
    <row r="515" spans="1:19" x14ac:dyDescent="0.25">
      <c r="A515" s="15"/>
      <c r="B515" s="15"/>
      <c r="C515" s="15"/>
      <c r="D515" s="16"/>
      <c r="H515" s="15"/>
      <c r="L515" s="15"/>
      <c r="P515" s="15"/>
      <c r="Q515" s="15"/>
      <c r="R515" s="15"/>
      <c r="S515" s="15"/>
    </row>
    <row r="516" spans="1:19" x14ac:dyDescent="0.25">
      <c r="A516" s="15"/>
      <c r="B516" s="15"/>
      <c r="C516" s="15"/>
      <c r="D516" s="16"/>
      <c r="H516" s="15"/>
      <c r="L516" s="15"/>
      <c r="P516" s="15"/>
      <c r="Q516" s="15"/>
      <c r="R516" s="15"/>
      <c r="S516" s="15"/>
    </row>
    <row r="517" spans="1:19" x14ac:dyDescent="0.25">
      <c r="A517" s="15"/>
      <c r="B517" s="15"/>
      <c r="C517" s="15"/>
      <c r="D517" s="16"/>
      <c r="H517" s="15"/>
      <c r="L517" s="15"/>
      <c r="P517" s="15"/>
      <c r="Q517" s="15"/>
      <c r="R517" s="15"/>
      <c r="S517" s="15"/>
    </row>
    <row r="518" spans="1:19" x14ac:dyDescent="0.25">
      <c r="A518" s="15"/>
      <c r="B518" s="15"/>
      <c r="C518" s="15"/>
      <c r="D518" s="16"/>
      <c r="H518" s="15"/>
      <c r="L518" s="15"/>
      <c r="P518" s="15"/>
      <c r="Q518" s="15"/>
      <c r="R518" s="15"/>
      <c r="S518" s="15"/>
    </row>
    <row r="519" spans="1:19" x14ac:dyDescent="0.25">
      <c r="A519" s="15"/>
      <c r="B519" s="15"/>
      <c r="C519" s="15"/>
      <c r="D519" s="16"/>
      <c r="H519" s="15"/>
      <c r="L519" s="15"/>
      <c r="P519" s="15"/>
      <c r="Q519" s="15"/>
      <c r="R519" s="15"/>
      <c r="S519" s="15"/>
    </row>
    <row r="520" spans="1:19" x14ac:dyDescent="0.25">
      <c r="A520" s="15"/>
      <c r="B520" s="15"/>
      <c r="C520" s="15"/>
      <c r="D520" s="16"/>
      <c r="H520" s="15"/>
      <c r="L520" s="15"/>
      <c r="P520" s="15"/>
      <c r="Q520" s="15"/>
      <c r="R520" s="15"/>
      <c r="S520" s="15"/>
    </row>
    <row r="521" spans="1:19" x14ac:dyDescent="0.25">
      <c r="A521" s="15"/>
      <c r="B521" s="15"/>
      <c r="C521" s="15"/>
      <c r="D521" s="16"/>
      <c r="H521" s="15"/>
      <c r="L521" s="15"/>
      <c r="P521" s="15"/>
      <c r="Q521" s="15"/>
      <c r="R521" s="15"/>
      <c r="S521" s="15"/>
    </row>
    <row r="522" spans="1:19" x14ac:dyDescent="0.25">
      <c r="A522" s="15"/>
      <c r="B522" s="15"/>
      <c r="C522" s="15"/>
      <c r="D522" s="16"/>
      <c r="H522" s="15"/>
      <c r="L522" s="15"/>
      <c r="P522" s="15"/>
      <c r="Q522" s="15"/>
      <c r="R522" s="15"/>
      <c r="S522" s="15"/>
    </row>
    <row r="523" spans="1:19" x14ac:dyDescent="0.25">
      <c r="A523" s="15"/>
      <c r="B523" s="15"/>
      <c r="C523" s="15"/>
      <c r="D523" s="16"/>
      <c r="H523" s="15"/>
      <c r="L523" s="15"/>
      <c r="P523" s="15"/>
      <c r="Q523" s="15"/>
      <c r="R523" s="15"/>
      <c r="S523" s="15"/>
    </row>
    <row r="524" spans="1:19" x14ac:dyDescent="0.25">
      <c r="A524" s="15"/>
      <c r="B524" s="15"/>
      <c r="C524" s="15"/>
      <c r="D524" s="16"/>
      <c r="H524" s="15"/>
      <c r="L524" s="15"/>
      <c r="P524" s="15"/>
      <c r="Q524" s="15"/>
      <c r="R524" s="15"/>
      <c r="S524" s="15"/>
    </row>
    <row r="525" spans="1:19" x14ac:dyDescent="0.25">
      <c r="A525" s="15"/>
      <c r="B525" s="15"/>
      <c r="C525" s="15"/>
      <c r="D525" s="16"/>
      <c r="H525" s="15"/>
      <c r="L525" s="15"/>
      <c r="P525" s="15"/>
      <c r="Q525" s="15"/>
      <c r="R525" s="15"/>
      <c r="S525" s="15"/>
    </row>
    <row r="526" spans="1:19" x14ac:dyDescent="0.25">
      <c r="A526" s="15"/>
      <c r="B526" s="15"/>
      <c r="C526" s="15"/>
      <c r="D526" s="16"/>
      <c r="H526" s="15"/>
      <c r="L526" s="15"/>
      <c r="P526" s="15"/>
      <c r="Q526" s="15"/>
      <c r="R526" s="15"/>
      <c r="S526" s="15"/>
    </row>
    <row r="527" spans="1:19" x14ac:dyDescent="0.25">
      <c r="A527" s="15"/>
      <c r="B527" s="15"/>
      <c r="C527" s="15"/>
      <c r="D527" s="16"/>
      <c r="H527" s="15"/>
      <c r="L527" s="15"/>
      <c r="P527" s="15"/>
      <c r="Q527" s="15"/>
      <c r="R527" s="15"/>
      <c r="S527" s="15"/>
    </row>
    <row r="528" spans="1:19" x14ac:dyDescent="0.25">
      <c r="A528" s="15"/>
      <c r="B528" s="15"/>
      <c r="C528" s="15"/>
      <c r="D528" s="16"/>
      <c r="H528" s="15"/>
      <c r="L528" s="15"/>
      <c r="P528" s="15"/>
      <c r="Q528" s="15"/>
      <c r="R528" s="15"/>
      <c r="S528" s="15"/>
    </row>
    <row r="529" spans="1:19" x14ac:dyDescent="0.25">
      <c r="A529" s="15"/>
      <c r="B529" s="15"/>
      <c r="C529" s="15"/>
      <c r="D529" s="16"/>
      <c r="H529" s="15"/>
      <c r="L529" s="15"/>
      <c r="P529" s="15"/>
      <c r="Q529" s="15"/>
      <c r="R529" s="15"/>
      <c r="S529" s="15"/>
    </row>
    <row r="530" spans="1:19" x14ac:dyDescent="0.25">
      <c r="A530" s="15"/>
      <c r="B530" s="15"/>
      <c r="C530" s="15"/>
      <c r="D530" s="16"/>
      <c r="H530" s="15"/>
      <c r="L530" s="15"/>
      <c r="P530" s="15"/>
      <c r="Q530" s="15"/>
      <c r="R530" s="15"/>
      <c r="S530" s="15"/>
    </row>
    <row r="531" spans="1:19" x14ac:dyDescent="0.25">
      <c r="A531" s="15"/>
      <c r="B531" s="15"/>
      <c r="C531" s="15"/>
      <c r="D531" s="16"/>
      <c r="H531" s="15"/>
      <c r="L531" s="15"/>
      <c r="P531" s="15"/>
      <c r="Q531" s="15"/>
      <c r="R531" s="15"/>
      <c r="S531" s="15"/>
    </row>
    <row r="532" spans="1:19" x14ac:dyDescent="0.25">
      <c r="A532" s="15"/>
      <c r="B532" s="15"/>
      <c r="C532" s="15"/>
      <c r="D532" s="16"/>
      <c r="H532" s="15"/>
      <c r="L532" s="15"/>
      <c r="P532" s="15"/>
      <c r="Q532" s="15"/>
      <c r="R532" s="15"/>
      <c r="S532" s="15"/>
    </row>
    <row r="533" spans="1:19" x14ac:dyDescent="0.25">
      <c r="A533" s="15"/>
      <c r="B533" s="15"/>
      <c r="C533" s="15"/>
      <c r="D533" s="16"/>
      <c r="H533" s="15"/>
      <c r="L533" s="15"/>
      <c r="P533" s="15"/>
      <c r="Q533" s="15"/>
      <c r="R533" s="15"/>
      <c r="S533" s="15"/>
    </row>
    <row r="534" spans="1:19" x14ac:dyDescent="0.25">
      <c r="A534" s="15"/>
      <c r="B534" s="15"/>
      <c r="C534" s="15"/>
      <c r="D534" s="16"/>
      <c r="H534" s="15"/>
      <c r="L534" s="15"/>
      <c r="P534" s="15"/>
      <c r="Q534" s="15"/>
      <c r="R534" s="15"/>
      <c r="S534" s="15"/>
    </row>
    <row r="535" spans="1:19" x14ac:dyDescent="0.25">
      <c r="A535" s="15"/>
      <c r="B535" s="15"/>
      <c r="C535" s="15"/>
      <c r="D535" s="16"/>
      <c r="H535" s="15"/>
      <c r="L535" s="15"/>
      <c r="P535" s="15"/>
      <c r="Q535" s="15"/>
      <c r="R535" s="15"/>
      <c r="S535" s="15"/>
    </row>
    <row r="536" spans="1:19" x14ac:dyDescent="0.25">
      <c r="A536" s="15"/>
      <c r="B536" s="15"/>
      <c r="C536" s="15"/>
      <c r="D536" s="16"/>
      <c r="H536" s="15"/>
      <c r="L536" s="15"/>
      <c r="P536" s="15"/>
      <c r="Q536" s="15"/>
      <c r="R536" s="15"/>
      <c r="S536" s="15"/>
    </row>
    <row r="537" spans="1:19" x14ac:dyDescent="0.25">
      <c r="A537" s="15"/>
      <c r="B537" s="15"/>
      <c r="C537" s="15"/>
      <c r="D537" s="16"/>
      <c r="H537" s="15"/>
      <c r="L537" s="15"/>
      <c r="P537" s="15"/>
      <c r="Q537" s="15"/>
      <c r="R537" s="15"/>
      <c r="S537" s="15"/>
    </row>
    <row r="538" spans="1:19" x14ac:dyDescent="0.25">
      <c r="A538" s="15"/>
      <c r="B538" s="15"/>
      <c r="C538" s="15"/>
      <c r="D538" s="16"/>
      <c r="H538" s="15"/>
      <c r="L538" s="15"/>
      <c r="P538" s="15"/>
      <c r="Q538" s="15"/>
      <c r="R538" s="15"/>
      <c r="S538" s="15"/>
    </row>
    <row r="539" spans="1:19" x14ac:dyDescent="0.25">
      <c r="A539" s="15"/>
      <c r="B539" s="15"/>
      <c r="C539" s="15"/>
      <c r="D539" s="16"/>
      <c r="H539" s="15"/>
      <c r="L539" s="15"/>
      <c r="P539" s="15"/>
      <c r="Q539" s="15"/>
      <c r="R539" s="15"/>
      <c r="S539" s="15"/>
    </row>
    <row r="540" spans="1:19" x14ac:dyDescent="0.25">
      <c r="A540" s="15"/>
      <c r="B540" s="15"/>
      <c r="C540" s="15"/>
      <c r="D540" s="16"/>
      <c r="H540" s="15"/>
      <c r="L540" s="15"/>
      <c r="P540" s="15"/>
      <c r="Q540" s="15"/>
      <c r="R540" s="15"/>
      <c r="S540" s="15"/>
    </row>
    <row r="541" spans="1:19" x14ac:dyDescent="0.25">
      <c r="A541" s="15"/>
      <c r="B541" s="15"/>
      <c r="C541" s="15"/>
      <c r="D541" s="16"/>
      <c r="H541" s="15"/>
      <c r="L541" s="15"/>
      <c r="P541" s="15"/>
      <c r="Q541" s="15"/>
      <c r="R541" s="15"/>
      <c r="S541" s="15"/>
    </row>
    <row r="542" spans="1:19" x14ac:dyDescent="0.25">
      <c r="A542" s="15"/>
      <c r="B542" s="15"/>
      <c r="C542" s="15"/>
      <c r="D542" s="16"/>
      <c r="H542" s="15"/>
      <c r="L542" s="15"/>
      <c r="P542" s="15"/>
      <c r="Q542" s="15"/>
      <c r="R542" s="15"/>
      <c r="S542" s="15"/>
    </row>
    <row r="543" spans="1:19" x14ac:dyDescent="0.25">
      <c r="A543" s="15"/>
      <c r="B543" s="15"/>
      <c r="C543" s="15"/>
      <c r="D543" s="16"/>
      <c r="H543" s="15"/>
      <c r="L543" s="15"/>
      <c r="P543" s="15"/>
      <c r="Q543" s="15"/>
      <c r="R543" s="15"/>
      <c r="S543" s="15"/>
    </row>
    <row r="544" spans="1:19" x14ac:dyDescent="0.25">
      <c r="A544" s="15"/>
      <c r="B544" s="15"/>
      <c r="C544" s="15"/>
      <c r="D544" s="16"/>
      <c r="H544" s="15"/>
      <c r="L544" s="15"/>
      <c r="P544" s="15"/>
      <c r="Q544" s="15"/>
      <c r="R544" s="15"/>
      <c r="S544" s="15"/>
    </row>
    <row r="545" spans="1:19" x14ac:dyDescent="0.25">
      <c r="A545" s="15"/>
      <c r="B545" s="15"/>
      <c r="C545" s="15"/>
      <c r="D545" s="16"/>
      <c r="H545" s="15"/>
      <c r="L545" s="15"/>
      <c r="P545" s="15"/>
      <c r="Q545" s="15"/>
      <c r="R545" s="15"/>
      <c r="S545" s="15"/>
    </row>
    <row r="546" spans="1:19" x14ac:dyDescent="0.25">
      <c r="A546" s="15"/>
      <c r="B546" s="15"/>
      <c r="C546" s="15"/>
      <c r="D546" s="16"/>
      <c r="H546" s="15"/>
      <c r="L546" s="15"/>
      <c r="P546" s="15"/>
      <c r="Q546" s="15"/>
      <c r="R546" s="15"/>
      <c r="S546" s="15"/>
    </row>
    <row r="547" spans="1:19" x14ac:dyDescent="0.25">
      <c r="A547" s="15"/>
      <c r="B547" s="15"/>
      <c r="C547" s="15"/>
      <c r="D547" s="16"/>
      <c r="H547" s="15"/>
      <c r="L547" s="15"/>
      <c r="P547" s="15"/>
      <c r="Q547" s="15"/>
      <c r="R547" s="15"/>
      <c r="S547" s="15"/>
    </row>
    <row r="548" spans="1:19" x14ac:dyDescent="0.25">
      <c r="A548" s="15"/>
      <c r="B548" s="15"/>
      <c r="C548" s="15"/>
      <c r="D548" s="16"/>
      <c r="H548" s="15"/>
      <c r="L548" s="15"/>
      <c r="P548" s="15"/>
      <c r="Q548" s="15"/>
      <c r="R548" s="15"/>
      <c r="S548" s="15"/>
    </row>
    <row r="549" spans="1:19" x14ac:dyDescent="0.25">
      <c r="A549" s="15"/>
      <c r="B549" s="15"/>
      <c r="C549" s="15"/>
      <c r="D549" s="16"/>
      <c r="H549" s="15"/>
      <c r="L549" s="15"/>
      <c r="P549" s="15"/>
      <c r="Q549" s="15"/>
      <c r="R549" s="15"/>
      <c r="S549" s="15"/>
    </row>
    <row r="550" spans="1:19" x14ac:dyDescent="0.25">
      <c r="A550" s="15"/>
      <c r="B550" s="15"/>
      <c r="C550" s="15"/>
      <c r="D550" s="16"/>
      <c r="H550" s="15"/>
      <c r="L550" s="15"/>
      <c r="P550" s="15"/>
      <c r="Q550" s="15"/>
      <c r="R550" s="15"/>
      <c r="S550" s="15"/>
    </row>
    <row r="551" spans="1:19" x14ac:dyDescent="0.25">
      <c r="A551" s="15"/>
      <c r="B551" s="15"/>
      <c r="C551" s="15"/>
      <c r="D551" s="16"/>
      <c r="H551" s="15"/>
      <c r="L551" s="15"/>
      <c r="P551" s="15"/>
      <c r="Q551" s="15"/>
      <c r="R551" s="15"/>
      <c r="S551" s="15"/>
    </row>
    <row r="552" spans="1:19" x14ac:dyDescent="0.25">
      <c r="A552" s="15"/>
      <c r="B552" s="15"/>
      <c r="C552" s="15"/>
      <c r="D552" s="16"/>
      <c r="H552" s="15"/>
      <c r="L552" s="15"/>
      <c r="P552" s="15"/>
      <c r="Q552" s="15"/>
      <c r="R552" s="15"/>
      <c r="S552" s="15"/>
    </row>
    <row r="553" spans="1:19" x14ac:dyDescent="0.25">
      <c r="A553" s="15"/>
      <c r="B553" s="15"/>
      <c r="C553" s="15"/>
      <c r="D553" s="16"/>
      <c r="H553" s="15"/>
      <c r="L553" s="15"/>
      <c r="P553" s="15"/>
      <c r="Q553" s="15"/>
      <c r="R553" s="15"/>
      <c r="S553" s="15"/>
    </row>
    <row r="554" spans="1:19" x14ac:dyDescent="0.25">
      <c r="A554" s="15"/>
      <c r="B554" s="15"/>
      <c r="C554" s="15"/>
      <c r="D554" s="16"/>
      <c r="H554" s="15"/>
      <c r="L554" s="15"/>
      <c r="P554" s="15"/>
      <c r="Q554" s="15"/>
      <c r="R554" s="15"/>
      <c r="S554" s="15"/>
    </row>
    <row r="555" spans="1:19" x14ac:dyDescent="0.25">
      <c r="A555" s="15"/>
      <c r="B555" s="15"/>
      <c r="C555" s="15"/>
      <c r="D555" s="16"/>
      <c r="H555" s="15"/>
      <c r="L555" s="15"/>
      <c r="P555" s="15"/>
      <c r="Q555" s="15"/>
      <c r="R555" s="15"/>
      <c r="S555" s="15"/>
    </row>
    <row r="556" spans="1:19" x14ac:dyDescent="0.25">
      <c r="A556" s="15"/>
      <c r="B556" s="15"/>
      <c r="C556" s="15"/>
      <c r="D556" s="16"/>
      <c r="H556" s="15"/>
      <c r="L556" s="15"/>
      <c r="P556" s="15"/>
      <c r="Q556" s="15"/>
      <c r="R556" s="15"/>
      <c r="S556" s="15"/>
    </row>
    <row r="557" spans="1:19" x14ac:dyDescent="0.25">
      <c r="A557" s="15"/>
      <c r="B557" s="15"/>
      <c r="C557" s="15"/>
      <c r="D557" s="16"/>
      <c r="H557" s="15"/>
      <c r="L557" s="15"/>
      <c r="P557" s="15"/>
      <c r="Q557" s="15"/>
      <c r="R557" s="15"/>
      <c r="S557" s="15"/>
    </row>
    <row r="558" spans="1:19" x14ac:dyDescent="0.25">
      <c r="A558" s="15"/>
      <c r="B558" s="15"/>
      <c r="C558" s="15"/>
      <c r="D558" s="16"/>
      <c r="H558" s="15"/>
      <c r="L558" s="15"/>
      <c r="P558" s="15"/>
      <c r="Q558" s="15"/>
      <c r="R558" s="15"/>
      <c r="S558" s="15"/>
    </row>
    <row r="559" spans="1:19" x14ac:dyDescent="0.25">
      <c r="A559" s="15"/>
      <c r="B559" s="15"/>
      <c r="C559" s="15"/>
      <c r="D559" s="16"/>
      <c r="H559" s="15"/>
      <c r="L559" s="15"/>
      <c r="P559" s="15"/>
      <c r="Q559" s="15"/>
      <c r="R559" s="15"/>
      <c r="S559" s="15"/>
    </row>
    <row r="560" spans="1:19" x14ac:dyDescent="0.25">
      <c r="A560" s="15"/>
      <c r="B560" s="15"/>
      <c r="C560" s="15"/>
      <c r="D560" s="16"/>
      <c r="H560" s="15"/>
      <c r="L560" s="15"/>
      <c r="P560" s="15"/>
      <c r="Q560" s="15"/>
      <c r="R560" s="15"/>
      <c r="S560" s="15"/>
    </row>
    <row r="561" spans="1:19" x14ac:dyDescent="0.25">
      <c r="A561" s="15"/>
      <c r="B561" s="15"/>
      <c r="C561" s="15"/>
      <c r="D561" s="16"/>
      <c r="H561" s="15"/>
      <c r="L561" s="15"/>
      <c r="P561" s="15"/>
      <c r="Q561" s="15"/>
      <c r="R561" s="15"/>
      <c r="S561" s="15"/>
    </row>
    <row r="562" spans="1:19" x14ac:dyDescent="0.25">
      <c r="A562" s="15"/>
      <c r="B562" s="15"/>
      <c r="C562" s="15"/>
      <c r="D562" s="16"/>
      <c r="H562" s="15"/>
      <c r="L562" s="15"/>
      <c r="P562" s="15"/>
      <c r="Q562" s="15"/>
      <c r="R562" s="15"/>
      <c r="S562" s="15"/>
    </row>
    <row r="563" spans="1:19" x14ac:dyDescent="0.25">
      <c r="A563" s="15"/>
      <c r="B563" s="15"/>
      <c r="C563" s="15"/>
      <c r="D563" s="16"/>
      <c r="H563" s="15"/>
      <c r="L563" s="15"/>
      <c r="P563" s="15"/>
      <c r="Q563" s="15"/>
      <c r="R563" s="15"/>
      <c r="S563" s="15"/>
    </row>
    <row r="564" spans="1:19" x14ac:dyDescent="0.25">
      <c r="A564" s="15"/>
      <c r="B564" s="15"/>
      <c r="C564" s="15"/>
      <c r="D564" s="16"/>
      <c r="H564" s="15"/>
      <c r="L564" s="15"/>
      <c r="P564" s="15"/>
      <c r="Q564" s="15"/>
      <c r="R564" s="15"/>
      <c r="S564" s="15"/>
    </row>
    <row r="565" spans="1:19" x14ac:dyDescent="0.25">
      <c r="A565" s="15"/>
      <c r="B565" s="15"/>
      <c r="C565" s="15"/>
      <c r="D565" s="16"/>
      <c r="H565" s="15"/>
      <c r="L565" s="15"/>
      <c r="P565" s="15"/>
      <c r="Q565" s="15"/>
      <c r="R565" s="15"/>
      <c r="S565" s="15"/>
    </row>
    <row r="566" spans="1:19" x14ac:dyDescent="0.25">
      <c r="A566" s="15"/>
      <c r="B566" s="15"/>
      <c r="C566" s="15"/>
      <c r="D566" s="16"/>
      <c r="H566" s="15"/>
      <c r="L566" s="15"/>
      <c r="P566" s="15"/>
      <c r="Q566" s="15"/>
      <c r="R566" s="15"/>
      <c r="S566" s="15"/>
    </row>
    <row r="567" spans="1:19" x14ac:dyDescent="0.25">
      <c r="A567" s="15"/>
      <c r="B567" s="15"/>
      <c r="C567" s="15"/>
      <c r="D567" s="16"/>
      <c r="H567" s="15"/>
      <c r="L567" s="15"/>
      <c r="P567" s="15"/>
      <c r="Q567" s="15"/>
      <c r="R567" s="15"/>
      <c r="S567" s="15"/>
    </row>
    <row r="568" spans="1:19" x14ac:dyDescent="0.25">
      <c r="A568" s="15"/>
      <c r="B568" s="15"/>
      <c r="C568" s="15"/>
      <c r="D568" s="16"/>
      <c r="H568" s="15"/>
      <c r="L568" s="15"/>
      <c r="P568" s="15"/>
      <c r="Q568" s="15"/>
      <c r="R568" s="15"/>
      <c r="S568" s="15"/>
    </row>
    <row r="569" spans="1:19" x14ac:dyDescent="0.25">
      <c r="A569" s="15"/>
      <c r="B569" s="15"/>
      <c r="C569" s="15"/>
      <c r="D569" s="16"/>
      <c r="H569" s="15"/>
      <c r="L569" s="15"/>
      <c r="P569" s="15"/>
      <c r="Q569" s="15"/>
      <c r="R569" s="15"/>
      <c r="S569" s="15"/>
    </row>
    <row r="570" spans="1:19" x14ac:dyDescent="0.25">
      <c r="A570" s="15"/>
      <c r="B570" s="15"/>
      <c r="C570" s="15"/>
      <c r="D570" s="16"/>
      <c r="H570" s="15"/>
      <c r="L570" s="15"/>
      <c r="P570" s="15"/>
      <c r="Q570" s="15"/>
      <c r="R570" s="15"/>
      <c r="S570" s="15"/>
    </row>
    <row r="571" spans="1:19" x14ac:dyDescent="0.25">
      <c r="A571" s="15"/>
      <c r="B571" s="15"/>
      <c r="C571" s="15"/>
      <c r="D571" s="16"/>
      <c r="H571" s="15"/>
      <c r="L571" s="15"/>
      <c r="P571" s="15"/>
      <c r="Q571" s="15"/>
      <c r="R571" s="15"/>
      <c r="S571" s="15"/>
    </row>
    <row r="572" spans="1:19" x14ac:dyDescent="0.25">
      <c r="A572" s="15"/>
      <c r="B572" s="15"/>
      <c r="C572" s="15"/>
      <c r="D572" s="16"/>
      <c r="H572" s="15"/>
      <c r="L572" s="15"/>
      <c r="P572" s="15"/>
      <c r="Q572" s="15"/>
      <c r="R572" s="15"/>
      <c r="S572" s="15"/>
    </row>
    <row r="573" spans="1:19" x14ac:dyDescent="0.25">
      <c r="A573" s="15"/>
      <c r="B573" s="15"/>
      <c r="C573" s="15"/>
      <c r="D573" s="16"/>
      <c r="H573" s="15"/>
      <c r="L573" s="15"/>
      <c r="P573" s="15"/>
      <c r="Q573" s="15"/>
      <c r="R573" s="15"/>
      <c r="S573" s="15"/>
    </row>
    <row r="574" spans="1:19" x14ac:dyDescent="0.25">
      <c r="A574" s="15"/>
      <c r="B574" s="15"/>
      <c r="C574" s="15"/>
      <c r="D574" s="16"/>
      <c r="H574" s="15"/>
      <c r="L574" s="15"/>
      <c r="P574" s="15"/>
      <c r="Q574" s="15"/>
      <c r="R574" s="15"/>
      <c r="S574" s="15"/>
    </row>
    <row r="575" spans="1:19" x14ac:dyDescent="0.25">
      <c r="A575" s="15"/>
      <c r="B575" s="15"/>
      <c r="C575" s="15"/>
      <c r="D575" s="16"/>
      <c r="H575" s="15"/>
      <c r="L575" s="15"/>
      <c r="P575" s="15"/>
      <c r="Q575" s="15"/>
      <c r="R575" s="15"/>
      <c r="S575" s="15"/>
    </row>
    <row r="576" spans="1:19" x14ac:dyDescent="0.25">
      <c r="A576" s="15"/>
      <c r="B576" s="15"/>
      <c r="C576" s="15"/>
      <c r="D576" s="16"/>
      <c r="H576" s="15"/>
      <c r="L576" s="15"/>
      <c r="P576" s="15"/>
      <c r="Q576" s="15"/>
      <c r="R576" s="15"/>
      <c r="S576" s="15"/>
    </row>
    <row r="577" spans="1:19" x14ac:dyDescent="0.25">
      <c r="A577" s="15"/>
      <c r="B577" s="15"/>
      <c r="C577" s="15"/>
      <c r="D577" s="16"/>
      <c r="H577" s="15"/>
      <c r="L577" s="15"/>
      <c r="P577" s="15"/>
      <c r="Q577" s="15"/>
      <c r="R577" s="15"/>
      <c r="S577" s="15"/>
    </row>
    <row r="578" spans="1:19" x14ac:dyDescent="0.25">
      <c r="A578" s="15"/>
      <c r="B578" s="15"/>
      <c r="C578" s="15"/>
      <c r="D578" s="16"/>
      <c r="H578" s="15"/>
      <c r="L578" s="15"/>
      <c r="P578" s="15"/>
      <c r="Q578" s="15"/>
      <c r="R578" s="15"/>
      <c r="S578" s="15"/>
    </row>
    <row r="579" spans="1:19" x14ac:dyDescent="0.25">
      <c r="A579" s="15"/>
      <c r="B579" s="15"/>
      <c r="C579" s="15"/>
      <c r="D579" s="16"/>
      <c r="H579" s="15"/>
      <c r="L579" s="15"/>
      <c r="P579" s="15"/>
      <c r="Q579" s="15"/>
      <c r="R579" s="15"/>
      <c r="S579" s="15"/>
    </row>
    <row r="580" spans="1:19" x14ac:dyDescent="0.25">
      <c r="A580" s="15"/>
      <c r="B580" s="15"/>
      <c r="C580" s="15"/>
      <c r="D580" s="16"/>
      <c r="H580" s="15"/>
      <c r="L580" s="15"/>
      <c r="P580" s="15"/>
      <c r="Q580" s="15"/>
      <c r="R580" s="15"/>
      <c r="S580" s="15"/>
    </row>
    <row r="581" spans="1:19" x14ac:dyDescent="0.25">
      <c r="A581" s="15"/>
      <c r="B581" s="15"/>
      <c r="C581" s="15"/>
      <c r="D581" s="16"/>
      <c r="H581" s="15"/>
      <c r="L581" s="15"/>
      <c r="P581" s="15"/>
      <c r="Q581" s="15"/>
      <c r="R581" s="15"/>
      <c r="S581" s="15"/>
    </row>
    <row r="582" spans="1:19" x14ac:dyDescent="0.25">
      <c r="A582" s="15"/>
      <c r="B582" s="15"/>
      <c r="C582" s="15"/>
      <c r="D582" s="16"/>
      <c r="H582" s="15"/>
      <c r="L582" s="15"/>
      <c r="P582" s="15"/>
      <c r="Q582" s="15"/>
      <c r="R582" s="15"/>
      <c r="S582" s="15"/>
    </row>
    <row r="583" spans="1:19" x14ac:dyDescent="0.25">
      <c r="A583" s="15"/>
      <c r="B583" s="15"/>
      <c r="C583" s="15"/>
      <c r="D583" s="16"/>
      <c r="H583" s="15"/>
      <c r="L583" s="15"/>
      <c r="P583" s="15"/>
      <c r="Q583" s="15"/>
      <c r="R583" s="15"/>
      <c r="S583" s="15"/>
    </row>
    <row r="584" spans="1:19" x14ac:dyDescent="0.25">
      <c r="A584" s="15"/>
      <c r="B584" s="15"/>
      <c r="C584" s="15"/>
      <c r="D584" s="16"/>
      <c r="H584" s="15"/>
      <c r="L584" s="15"/>
      <c r="P584" s="15"/>
      <c r="Q584" s="15"/>
      <c r="R584" s="15"/>
      <c r="S584" s="15"/>
    </row>
    <row r="585" spans="1:19" x14ac:dyDescent="0.25">
      <c r="A585" s="15"/>
      <c r="B585" s="15"/>
      <c r="C585" s="15"/>
      <c r="D585" s="16"/>
      <c r="H585" s="15"/>
      <c r="L585" s="15"/>
      <c r="P585" s="15"/>
      <c r="Q585" s="15"/>
      <c r="R585" s="15"/>
      <c r="S585" s="15"/>
    </row>
    <row r="586" spans="1:19" x14ac:dyDescent="0.25">
      <c r="A586" s="15"/>
      <c r="B586" s="15"/>
      <c r="C586" s="15"/>
      <c r="D586" s="16"/>
      <c r="H586" s="15"/>
      <c r="L586" s="15"/>
      <c r="P586" s="15"/>
      <c r="Q586" s="15"/>
      <c r="R586" s="15"/>
      <c r="S586" s="15"/>
    </row>
    <row r="587" spans="1:19" x14ac:dyDescent="0.25">
      <c r="A587" s="15"/>
      <c r="B587" s="15"/>
      <c r="C587" s="15"/>
      <c r="D587" s="16"/>
      <c r="H587" s="15"/>
      <c r="L587" s="15"/>
      <c r="P587" s="15"/>
      <c r="Q587" s="15"/>
      <c r="R587" s="15"/>
      <c r="S587" s="15"/>
    </row>
    <row r="588" spans="1:19" x14ac:dyDescent="0.25">
      <c r="A588" s="15"/>
      <c r="B588" s="15"/>
      <c r="C588" s="15"/>
      <c r="D588" s="16"/>
      <c r="H588" s="15"/>
      <c r="L588" s="15"/>
      <c r="P588" s="15"/>
      <c r="Q588" s="15"/>
      <c r="R588" s="15"/>
      <c r="S588" s="15"/>
    </row>
    <row r="589" spans="1:19" x14ac:dyDescent="0.25">
      <c r="A589" s="15"/>
      <c r="B589" s="15"/>
      <c r="C589" s="15"/>
      <c r="D589" s="16"/>
      <c r="H589" s="15"/>
      <c r="L589" s="15"/>
      <c r="P589" s="15"/>
      <c r="Q589" s="15"/>
      <c r="R589" s="15"/>
      <c r="S589" s="15"/>
    </row>
    <row r="590" spans="1:19" x14ac:dyDescent="0.25">
      <c r="A590" s="15"/>
      <c r="B590" s="15"/>
      <c r="C590" s="15"/>
      <c r="D590" s="16"/>
      <c r="H590" s="15"/>
      <c r="L590" s="15"/>
      <c r="P590" s="15"/>
      <c r="Q590" s="15"/>
      <c r="R590" s="15"/>
      <c r="S590" s="15"/>
    </row>
    <row r="591" spans="1:19" x14ac:dyDescent="0.25">
      <c r="A591" s="15"/>
      <c r="B591" s="15"/>
      <c r="C591" s="15"/>
      <c r="D591" s="16"/>
      <c r="H591" s="15"/>
      <c r="L591" s="15"/>
      <c r="P591" s="15"/>
      <c r="Q591" s="15"/>
      <c r="R591" s="15"/>
      <c r="S591" s="15"/>
    </row>
    <row r="592" spans="1:19" x14ac:dyDescent="0.25">
      <c r="A592" s="15"/>
      <c r="B592" s="15"/>
      <c r="C592" s="15"/>
      <c r="D592" s="16"/>
      <c r="H592" s="15"/>
      <c r="L592" s="15"/>
      <c r="P592" s="15"/>
      <c r="Q592" s="15"/>
      <c r="R592" s="15"/>
      <c r="S592" s="15"/>
    </row>
    <row r="593" spans="1:19" x14ac:dyDescent="0.25">
      <c r="A593" s="15"/>
      <c r="B593" s="15"/>
      <c r="C593" s="15"/>
      <c r="D593" s="16"/>
      <c r="H593" s="15"/>
      <c r="L593" s="15"/>
      <c r="P593" s="15"/>
      <c r="Q593" s="15"/>
      <c r="R593" s="15"/>
      <c r="S593" s="15"/>
    </row>
    <row r="594" spans="1:19" x14ac:dyDescent="0.25">
      <c r="A594" s="15"/>
      <c r="B594" s="15"/>
      <c r="C594" s="15"/>
      <c r="D594" s="16"/>
      <c r="H594" s="15"/>
      <c r="L594" s="15"/>
      <c r="P594" s="15"/>
      <c r="Q594" s="15"/>
      <c r="R594" s="15"/>
      <c r="S594" s="15"/>
    </row>
    <row r="595" spans="1:19" x14ac:dyDescent="0.25">
      <c r="A595" s="15"/>
      <c r="B595" s="15"/>
      <c r="C595" s="15"/>
      <c r="D595" s="16"/>
      <c r="H595" s="15"/>
      <c r="L595" s="15"/>
      <c r="P595" s="15"/>
      <c r="Q595" s="15"/>
      <c r="R595" s="15"/>
      <c r="S595" s="15"/>
    </row>
    <row r="596" spans="1:19" x14ac:dyDescent="0.25">
      <c r="A596" s="15"/>
      <c r="B596" s="15"/>
      <c r="C596" s="15"/>
      <c r="D596" s="16"/>
      <c r="H596" s="15"/>
      <c r="L596" s="15"/>
      <c r="P596" s="15"/>
      <c r="Q596" s="15"/>
      <c r="R596" s="15"/>
      <c r="S596" s="15"/>
    </row>
    <row r="597" spans="1:19" x14ac:dyDescent="0.25">
      <c r="A597" s="15"/>
      <c r="B597" s="15"/>
      <c r="C597" s="15"/>
      <c r="D597" s="16"/>
      <c r="H597" s="15"/>
      <c r="L597" s="15"/>
      <c r="P597" s="15"/>
      <c r="Q597" s="15"/>
      <c r="R597" s="15"/>
      <c r="S597" s="15"/>
    </row>
    <row r="598" spans="1:19" x14ac:dyDescent="0.25">
      <c r="A598" s="15"/>
      <c r="B598" s="15"/>
      <c r="C598" s="15"/>
      <c r="D598" s="16"/>
      <c r="H598" s="15"/>
      <c r="L598" s="15"/>
      <c r="P598" s="15"/>
      <c r="Q598" s="15"/>
      <c r="R598" s="15"/>
      <c r="S598" s="15"/>
    </row>
    <row r="599" spans="1:19" x14ac:dyDescent="0.25">
      <c r="A599" s="15"/>
      <c r="B599" s="15"/>
      <c r="C599" s="15"/>
      <c r="D599" s="16"/>
      <c r="H599" s="15"/>
      <c r="L599" s="15"/>
      <c r="P599" s="15"/>
      <c r="Q599" s="15"/>
      <c r="R599" s="15"/>
      <c r="S599" s="15"/>
    </row>
    <row r="600" spans="1:19" x14ac:dyDescent="0.25">
      <c r="A600" s="15"/>
      <c r="B600" s="15"/>
      <c r="C600" s="15"/>
      <c r="D600" s="16"/>
      <c r="H600" s="15"/>
      <c r="L600" s="15"/>
      <c r="P600" s="15"/>
      <c r="Q600" s="15"/>
      <c r="R600" s="15"/>
      <c r="S600" s="15"/>
    </row>
    <row r="601" spans="1:19" x14ac:dyDescent="0.25">
      <c r="A601" s="15"/>
      <c r="B601" s="15"/>
      <c r="C601" s="15"/>
      <c r="D601" s="16"/>
      <c r="H601" s="15"/>
      <c r="L601" s="15"/>
      <c r="P601" s="15"/>
      <c r="Q601" s="15"/>
      <c r="R601" s="15"/>
      <c r="S601" s="15"/>
    </row>
    <row r="602" spans="1:19" x14ac:dyDescent="0.25">
      <c r="A602" s="15"/>
      <c r="B602" s="15"/>
      <c r="C602" s="15"/>
      <c r="D602" s="16"/>
      <c r="H602" s="15"/>
      <c r="L602" s="15"/>
      <c r="P602" s="15"/>
      <c r="Q602" s="15"/>
      <c r="R602" s="15"/>
      <c r="S602" s="15"/>
    </row>
    <row r="603" spans="1:19" x14ac:dyDescent="0.25">
      <c r="A603" s="15"/>
      <c r="B603" s="15"/>
      <c r="C603" s="15"/>
      <c r="D603" s="16"/>
      <c r="H603" s="15"/>
      <c r="L603" s="15"/>
      <c r="P603" s="15"/>
      <c r="Q603" s="15"/>
      <c r="R603" s="15"/>
      <c r="S603" s="15"/>
    </row>
    <row r="604" spans="1:19" x14ac:dyDescent="0.25">
      <c r="A604" s="15"/>
      <c r="B604" s="15"/>
      <c r="C604" s="15"/>
      <c r="D604" s="16"/>
      <c r="H604" s="15"/>
      <c r="L604" s="15"/>
      <c r="P604" s="15"/>
      <c r="Q604" s="15"/>
      <c r="R604" s="15"/>
      <c r="S604" s="15"/>
    </row>
    <row r="605" spans="1:19" x14ac:dyDescent="0.25">
      <c r="A605" s="15"/>
      <c r="B605" s="15"/>
      <c r="C605" s="15"/>
      <c r="D605" s="16"/>
      <c r="H605" s="15"/>
      <c r="L605" s="15"/>
      <c r="P605" s="15"/>
      <c r="Q605" s="15"/>
      <c r="R605" s="15"/>
      <c r="S605" s="15"/>
    </row>
    <row r="606" spans="1:19" x14ac:dyDescent="0.25">
      <c r="A606" s="15"/>
      <c r="B606" s="15"/>
      <c r="C606" s="15"/>
      <c r="D606" s="16"/>
      <c r="H606" s="15"/>
      <c r="L606" s="15"/>
      <c r="P606" s="15"/>
      <c r="Q606" s="15"/>
      <c r="R606" s="15"/>
      <c r="S606" s="15"/>
    </row>
    <row r="607" spans="1:19" x14ac:dyDescent="0.25">
      <c r="A607" s="15"/>
      <c r="B607" s="15"/>
      <c r="C607" s="15"/>
      <c r="D607" s="16"/>
      <c r="H607" s="15"/>
      <c r="L607" s="15"/>
      <c r="P607" s="15"/>
      <c r="Q607" s="15"/>
      <c r="R607" s="15"/>
      <c r="S607" s="15"/>
    </row>
    <row r="608" spans="1:19" x14ac:dyDescent="0.25">
      <c r="A608" s="15"/>
      <c r="B608" s="15"/>
      <c r="C608" s="15"/>
      <c r="D608" s="16"/>
      <c r="H608" s="15"/>
      <c r="L608" s="15"/>
      <c r="P608" s="15"/>
      <c r="Q608" s="15"/>
      <c r="R608" s="15"/>
      <c r="S608" s="15"/>
    </row>
    <row r="609" spans="1:19" x14ac:dyDescent="0.25">
      <c r="A609" s="15"/>
      <c r="B609" s="15"/>
      <c r="C609" s="15"/>
      <c r="D609" s="16"/>
      <c r="H609" s="15"/>
      <c r="L609" s="15"/>
      <c r="P609" s="15"/>
      <c r="Q609" s="15"/>
      <c r="R609" s="15"/>
      <c r="S609" s="15"/>
    </row>
    <row r="610" spans="1:19" x14ac:dyDescent="0.25">
      <c r="A610" s="15"/>
      <c r="B610" s="15"/>
      <c r="C610" s="15"/>
      <c r="D610" s="16"/>
      <c r="H610" s="15"/>
      <c r="L610" s="15"/>
      <c r="P610" s="15"/>
      <c r="Q610" s="15"/>
      <c r="R610" s="15"/>
      <c r="S610" s="15"/>
    </row>
    <row r="611" spans="1:19" x14ac:dyDescent="0.25">
      <c r="A611" s="15"/>
      <c r="B611" s="15"/>
      <c r="C611" s="15"/>
      <c r="D611" s="16"/>
      <c r="H611" s="15"/>
      <c r="L611" s="15"/>
      <c r="P611" s="15"/>
      <c r="Q611" s="15"/>
      <c r="R611" s="15"/>
      <c r="S611" s="15"/>
    </row>
    <row r="612" spans="1:19" x14ac:dyDescent="0.25">
      <c r="A612" s="15"/>
      <c r="B612" s="15"/>
      <c r="C612" s="15"/>
      <c r="D612" s="16"/>
      <c r="H612" s="15"/>
      <c r="L612" s="15"/>
      <c r="P612" s="15"/>
      <c r="Q612" s="15"/>
      <c r="R612" s="15"/>
      <c r="S612" s="15"/>
    </row>
    <row r="613" spans="1:19" x14ac:dyDescent="0.25">
      <c r="A613" s="15"/>
      <c r="B613" s="15"/>
      <c r="C613" s="15"/>
      <c r="D613" s="16"/>
      <c r="H613" s="15"/>
      <c r="L613" s="15"/>
      <c r="P613" s="15"/>
      <c r="Q613" s="15"/>
      <c r="R613" s="15"/>
      <c r="S613" s="15"/>
    </row>
    <row r="614" spans="1:19" x14ac:dyDescent="0.25">
      <c r="A614" s="15"/>
      <c r="B614" s="15"/>
      <c r="C614" s="15"/>
      <c r="D614" s="16"/>
      <c r="H614" s="15"/>
      <c r="L614" s="15"/>
      <c r="P614" s="15"/>
      <c r="Q614" s="15"/>
      <c r="R614" s="15"/>
      <c r="S614" s="15"/>
    </row>
    <row r="615" spans="1:19" x14ac:dyDescent="0.25">
      <c r="A615" s="15"/>
      <c r="B615" s="15"/>
      <c r="C615" s="15"/>
      <c r="D615" s="16"/>
      <c r="H615" s="15"/>
      <c r="L615" s="15"/>
      <c r="P615" s="15"/>
      <c r="Q615" s="15"/>
      <c r="R615" s="15"/>
      <c r="S615" s="15"/>
    </row>
    <row r="616" spans="1:19" x14ac:dyDescent="0.25">
      <c r="A616" s="15"/>
      <c r="B616" s="15"/>
      <c r="C616" s="15"/>
      <c r="D616" s="16"/>
      <c r="H616" s="15"/>
      <c r="L616" s="15"/>
      <c r="P616" s="15"/>
      <c r="Q616" s="15"/>
      <c r="R616" s="15"/>
      <c r="S616" s="15"/>
    </row>
    <row r="617" spans="1:19" x14ac:dyDescent="0.25">
      <c r="A617" s="15"/>
      <c r="B617" s="15"/>
      <c r="C617" s="15"/>
      <c r="D617" s="16"/>
      <c r="H617" s="15"/>
      <c r="L617" s="15"/>
      <c r="P617" s="15"/>
      <c r="Q617" s="15"/>
      <c r="R617" s="15"/>
      <c r="S617" s="15"/>
    </row>
    <row r="618" spans="1:19" x14ac:dyDescent="0.25">
      <c r="A618" s="15"/>
      <c r="B618" s="15"/>
      <c r="C618" s="15"/>
      <c r="D618" s="16"/>
      <c r="H618" s="15"/>
      <c r="L618" s="15"/>
      <c r="P618" s="15"/>
      <c r="Q618" s="15"/>
      <c r="R618" s="15"/>
      <c r="S618" s="15"/>
    </row>
    <row r="619" spans="1:19" x14ac:dyDescent="0.25">
      <c r="A619" s="15"/>
      <c r="B619" s="15"/>
      <c r="C619" s="15"/>
      <c r="D619" s="16"/>
      <c r="H619" s="15"/>
      <c r="L619" s="15"/>
      <c r="P619" s="15"/>
      <c r="Q619" s="15"/>
      <c r="R619" s="15"/>
      <c r="S619" s="15"/>
    </row>
    <row r="620" spans="1:19" x14ac:dyDescent="0.25">
      <c r="A620" s="15"/>
      <c r="B620" s="15"/>
      <c r="C620" s="15"/>
      <c r="D620" s="16"/>
      <c r="H620" s="15"/>
      <c r="L620" s="15"/>
      <c r="P620" s="15"/>
      <c r="Q620" s="15"/>
      <c r="R620" s="15"/>
      <c r="S620" s="15"/>
    </row>
    <row r="621" spans="1:19" x14ac:dyDescent="0.25">
      <c r="A621" s="15"/>
      <c r="B621" s="15"/>
      <c r="C621" s="15"/>
      <c r="D621" s="16"/>
      <c r="H621" s="15"/>
      <c r="L621" s="15"/>
      <c r="P621" s="15"/>
      <c r="Q621" s="15"/>
      <c r="R621" s="15"/>
      <c r="S621" s="15"/>
    </row>
    <row r="622" spans="1:19" x14ac:dyDescent="0.25">
      <c r="A622" s="15"/>
      <c r="B622" s="15"/>
      <c r="C622" s="15"/>
      <c r="D622" s="16"/>
      <c r="H622" s="15"/>
      <c r="L622" s="15"/>
      <c r="P622" s="15"/>
      <c r="Q622" s="15"/>
      <c r="R622" s="15"/>
      <c r="S622" s="15"/>
    </row>
    <row r="623" spans="1:19" x14ac:dyDescent="0.25">
      <c r="A623" s="15"/>
      <c r="B623" s="15"/>
      <c r="C623" s="15"/>
      <c r="D623" s="16"/>
      <c r="H623" s="15"/>
      <c r="L623" s="15"/>
      <c r="P623" s="15"/>
      <c r="Q623" s="15"/>
      <c r="R623" s="15"/>
      <c r="S623" s="15"/>
    </row>
    <row r="624" spans="1:19" x14ac:dyDescent="0.25">
      <c r="A624" s="15"/>
      <c r="B624" s="15"/>
      <c r="C624" s="15"/>
      <c r="D624" s="16"/>
      <c r="H624" s="15"/>
      <c r="L624" s="15"/>
      <c r="P624" s="15"/>
      <c r="Q624" s="15"/>
      <c r="R624" s="15"/>
      <c r="S624" s="15"/>
    </row>
    <row r="625" spans="1:19" x14ac:dyDescent="0.25">
      <c r="A625" s="15"/>
      <c r="B625" s="15"/>
      <c r="C625" s="15"/>
      <c r="D625" s="16"/>
      <c r="H625" s="15"/>
      <c r="L625" s="15"/>
      <c r="P625" s="15"/>
      <c r="Q625" s="15"/>
      <c r="R625" s="15"/>
      <c r="S625" s="15"/>
    </row>
    <row r="626" spans="1:19" x14ac:dyDescent="0.25">
      <c r="A626" s="15"/>
      <c r="B626" s="15"/>
      <c r="C626" s="15"/>
      <c r="D626" s="16"/>
      <c r="H626" s="15"/>
      <c r="L626" s="15"/>
      <c r="P626" s="15"/>
      <c r="Q626" s="15"/>
      <c r="R626" s="15"/>
      <c r="S626" s="15"/>
    </row>
    <row r="627" spans="1:19" x14ac:dyDescent="0.25">
      <c r="A627" s="15"/>
      <c r="B627" s="15"/>
      <c r="C627" s="15"/>
      <c r="D627" s="16"/>
      <c r="H627" s="15"/>
      <c r="L627" s="15"/>
      <c r="P627" s="15"/>
      <c r="Q627" s="15"/>
      <c r="R627" s="15"/>
      <c r="S627" s="15"/>
    </row>
    <row r="628" spans="1:19" x14ac:dyDescent="0.25">
      <c r="A628" s="15"/>
      <c r="B628" s="15"/>
      <c r="C628" s="15"/>
      <c r="D628" s="16"/>
      <c r="H628" s="15"/>
      <c r="L628" s="15"/>
      <c r="P628" s="15"/>
      <c r="Q628" s="15"/>
      <c r="R628" s="15"/>
      <c r="S628" s="15"/>
    </row>
    <row r="629" spans="1:19" x14ac:dyDescent="0.25">
      <c r="A629" s="15"/>
      <c r="B629" s="15"/>
      <c r="C629" s="15"/>
      <c r="D629" s="16"/>
      <c r="H629" s="15"/>
      <c r="L629" s="15"/>
      <c r="P629" s="15"/>
      <c r="Q629" s="15"/>
      <c r="R629" s="15"/>
      <c r="S629" s="15"/>
    </row>
    <row r="630" spans="1:19" x14ac:dyDescent="0.25">
      <c r="A630" s="15"/>
      <c r="B630" s="15"/>
      <c r="C630" s="15"/>
      <c r="D630" s="16"/>
      <c r="H630" s="15"/>
      <c r="L630" s="15"/>
      <c r="P630" s="15"/>
      <c r="Q630" s="15"/>
      <c r="R630" s="15"/>
      <c r="S630" s="15"/>
    </row>
    <row r="631" spans="1:19" x14ac:dyDescent="0.25">
      <c r="A631" s="15"/>
      <c r="B631" s="15"/>
      <c r="C631" s="15"/>
      <c r="D631" s="16"/>
      <c r="H631" s="15"/>
      <c r="L631" s="15"/>
      <c r="P631" s="15"/>
      <c r="Q631" s="15"/>
      <c r="R631" s="15"/>
      <c r="S631" s="15"/>
    </row>
    <row r="632" spans="1:19" x14ac:dyDescent="0.25">
      <c r="A632" s="15"/>
      <c r="B632" s="15"/>
      <c r="C632" s="15"/>
      <c r="D632" s="16"/>
      <c r="H632" s="15"/>
      <c r="L632" s="15"/>
      <c r="P632" s="15"/>
      <c r="Q632" s="15"/>
      <c r="R632" s="15"/>
      <c r="S632" s="15"/>
    </row>
    <row r="633" spans="1:19" x14ac:dyDescent="0.25">
      <c r="A633" s="15"/>
      <c r="B633" s="15"/>
      <c r="C633" s="15"/>
      <c r="D633" s="16"/>
      <c r="H633" s="15"/>
      <c r="L633" s="15"/>
      <c r="P633" s="15"/>
      <c r="Q633" s="15"/>
      <c r="R633" s="15"/>
      <c r="S633" s="15"/>
    </row>
    <row r="634" spans="1:19" x14ac:dyDescent="0.25">
      <c r="A634" s="15"/>
      <c r="B634" s="15"/>
      <c r="C634" s="15"/>
      <c r="D634" s="16"/>
      <c r="H634" s="15"/>
      <c r="L634" s="15"/>
      <c r="P634" s="15"/>
      <c r="Q634" s="15"/>
      <c r="R634" s="15"/>
      <c r="S634" s="15"/>
    </row>
    <row r="635" spans="1:19" x14ac:dyDescent="0.25">
      <c r="A635" s="15"/>
      <c r="B635" s="15"/>
      <c r="C635" s="15"/>
      <c r="D635" s="16"/>
      <c r="H635" s="15"/>
      <c r="L635" s="15"/>
      <c r="P635" s="15"/>
      <c r="Q635" s="15"/>
      <c r="R635" s="15"/>
      <c r="S635" s="15"/>
    </row>
    <row r="636" spans="1:19" x14ac:dyDescent="0.25">
      <c r="A636" s="15"/>
      <c r="B636" s="15"/>
      <c r="C636" s="15"/>
      <c r="D636" s="16"/>
      <c r="H636" s="15"/>
      <c r="L636" s="15"/>
      <c r="P636" s="15"/>
      <c r="Q636" s="15"/>
      <c r="R636" s="15"/>
      <c r="S636" s="15"/>
    </row>
    <row r="637" spans="1:19" x14ac:dyDescent="0.25">
      <c r="A637" s="15"/>
      <c r="B637" s="15"/>
      <c r="C637" s="15"/>
      <c r="D637" s="16"/>
      <c r="H637" s="15"/>
      <c r="L637" s="15"/>
      <c r="P637" s="15"/>
      <c r="Q637" s="15"/>
      <c r="R637" s="15"/>
      <c r="S637" s="15"/>
    </row>
    <row r="638" spans="1:19" x14ac:dyDescent="0.25">
      <c r="A638" s="15"/>
      <c r="B638" s="15"/>
      <c r="C638" s="15"/>
      <c r="D638" s="16"/>
      <c r="H638" s="15"/>
      <c r="L638" s="15"/>
      <c r="P638" s="15"/>
      <c r="Q638" s="15"/>
      <c r="R638" s="15"/>
      <c r="S638" s="15"/>
    </row>
    <row r="639" spans="1:19" x14ac:dyDescent="0.25">
      <c r="A639" s="15"/>
      <c r="B639" s="15"/>
      <c r="C639" s="15"/>
      <c r="D639" s="16"/>
      <c r="H639" s="15"/>
      <c r="L639" s="15"/>
      <c r="P639" s="15"/>
      <c r="Q639" s="15"/>
      <c r="R639" s="15"/>
      <c r="S639" s="15"/>
    </row>
    <row r="640" spans="1:19" x14ac:dyDescent="0.25">
      <c r="A640" s="15"/>
      <c r="B640" s="15"/>
      <c r="C640" s="15"/>
      <c r="D640" s="16"/>
      <c r="H640" s="15"/>
      <c r="L640" s="15"/>
      <c r="P640" s="15"/>
      <c r="Q640" s="15"/>
      <c r="R640" s="15"/>
      <c r="S640" s="15"/>
    </row>
    <row r="641" spans="1:19" x14ac:dyDescent="0.25">
      <c r="A641" s="15"/>
      <c r="B641" s="15"/>
      <c r="C641" s="15"/>
      <c r="D641" s="16"/>
      <c r="H641" s="15"/>
      <c r="L641" s="15"/>
      <c r="P641" s="15"/>
      <c r="Q641" s="15"/>
      <c r="R641" s="15"/>
      <c r="S641" s="15"/>
    </row>
    <row r="642" spans="1:19" x14ac:dyDescent="0.25">
      <c r="A642" s="15"/>
      <c r="B642" s="15"/>
      <c r="C642" s="15"/>
      <c r="D642" s="16"/>
      <c r="H642" s="15"/>
      <c r="L642" s="15"/>
      <c r="P642" s="15"/>
      <c r="Q642" s="15"/>
      <c r="R642" s="15"/>
      <c r="S642" s="15"/>
    </row>
    <row r="643" spans="1:19" x14ac:dyDescent="0.25">
      <c r="A643" s="15"/>
      <c r="B643" s="15"/>
      <c r="C643" s="15"/>
      <c r="D643" s="16"/>
      <c r="H643" s="15"/>
      <c r="L643" s="15"/>
      <c r="P643" s="15"/>
      <c r="Q643" s="15"/>
      <c r="R643" s="15"/>
      <c r="S643" s="15"/>
    </row>
    <row r="644" spans="1:19" x14ac:dyDescent="0.25">
      <c r="A644" s="15"/>
      <c r="B644" s="15"/>
      <c r="C644" s="15"/>
      <c r="D644" s="16"/>
      <c r="H644" s="15"/>
      <c r="L644" s="15"/>
      <c r="P644" s="15"/>
      <c r="Q644" s="15"/>
      <c r="R644" s="15"/>
      <c r="S644" s="15"/>
    </row>
    <row r="645" spans="1:19" x14ac:dyDescent="0.25">
      <c r="A645" s="15"/>
      <c r="B645" s="15"/>
      <c r="C645" s="15"/>
      <c r="D645" s="16"/>
      <c r="H645" s="15"/>
      <c r="L645" s="15"/>
      <c r="P645" s="15"/>
      <c r="Q645" s="15"/>
      <c r="R645" s="15"/>
      <c r="S645" s="15"/>
    </row>
    <row r="646" spans="1:19" x14ac:dyDescent="0.25">
      <c r="A646" s="15"/>
      <c r="B646" s="15"/>
      <c r="C646" s="15"/>
      <c r="D646" s="16"/>
      <c r="H646" s="15"/>
      <c r="L646" s="15"/>
      <c r="P646" s="15"/>
      <c r="Q646" s="15"/>
      <c r="R646" s="15"/>
      <c r="S646" s="15"/>
    </row>
    <row r="647" spans="1:19" x14ac:dyDescent="0.25">
      <c r="A647" s="15"/>
      <c r="B647" s="15"/>
      <c r="C647" s="15"/>
      <c r="D647" s="16"/>
      <c r="H647" s="15"/>
      <c r="L647" s="15"/>
      <c r="P647" s="15"/>
      <c r="Q647" s="15"/>
      <c r="R647" s="15"/>
      <c r="S647" s="15"/>
    </row>
    <row r="648" spans="1:19" x14ac:dyDescent="0.25">
      <c r="A648" s="15"/>
      <c r="B648" s="15"/>
      <c r="C648" s="15"/>
      <c r="D648" s="16"/>
      <c r="H648" s="15"/>
      <c r="L648" s="15"/>
      <c r="P648" s="15"/>
      <c r="Q648" s="15"/>
      <c r="R648" s="15"/>
      <c r="S648" s="15"/>
    </row>
    <row r="649" spans="1:19" x14ac:dyDescent="0.25">
      <c r="A649" s="15"/>
      <c r="B649" s="15"/>
      <c r="C649" s="15"/>
      <c r="D649" s="16"/>
      <c r="H649" s="15"/>
      <c r="L649" s="15"/>
      <c r="P649" s="15"/>
      <c r="Q649" s="15"/>
      <c r="R649" s="15"/>
      <c r="S649" s="15"/>
    </row>
    <row r="650" spans="1:19" x14ac:dyDescent="0.25">
      <c r="A650" s="15"/>
      <c r="B650" s="15"/>
      <c r="C650" s="15"/>
      <c r="D650" s="16"/>
      <c r="H650" s="15"/>
      <c r="L650" s="15"/>
      <c r="P650" s="15"/>
      <c r="Q650" s="15"/>
      <c r="R650" s="15"/>
      <c r="S650" s="15"/>
    </row>
    <row r="651" spans="1:19" x14ac:dyDescent="0.25">
      <c r="A651" s="15"/>
      <c r="B651" s="15"/>
      <c r="C651" s="15"/>
      <c r="D651" s="16"/>
      <c r="H651" s="15"/>
      <c r="L651" s="15"/>
      <c r="P651" s="15"/>
      <c r="Q651" s="15"/>
      <c r="R651" s="15"/>
      <c r="S651" s="15"/>
    </row>
    <row r="652" spans="1:19" x14ac:dyDescent="0.25">
      <c r="A652" s="15"/>
      <c r="B652" s="15"/>
      <c r="C652" s="15"/>
      <c r="D652" s="16"/>
      <c r="H652" s="15"/>
      <c r="L652" s="15"/>
      <c r="P652" s="15"/>
      <c r="Q652" s="15"/>
      <c r="R652" s="15"/>
      <c r="S652" s="15"/>
    </row>
    <row r="653" spans="1:19" x14ac:dyDescent="0.25">
      <c r="A653" s="15"/>
      <c r="B653" s="15"/>
      <c r="C653" s="15"/>
      <c r="D653" s="16"/>
      <c r="H653" s="15"/>
      <c r="L653" s="15"/>
      <c r="P653" s="15"/>
      <c r="Q653" s="15"/>
      <c r="R653" s="15"/>
      <c r="S653" s="15"/>
    </row>
    <row r="654" spans="1:19" x14ac:dyDescent="0.25">
      <c r="A654" s="15"/>
      <c r="B654" s="15"/>
      <c r="C654" s="15"/>
      <c r="D654" s="16"/>
      <c r="H654" s="15"/>
      <c r="L654" s="15"/>
      <c r="P654" s="15"/>
      <c r="Q654" s="15"/>
      <c r="R654" s="15"/>
      <c r="S654" s="15"/>
    </row>
    <row r="655" spans="1:19" x14ac:dyDescent="0.25">
      <c r="A655" s="15"/>
      <c r="B655" s="15"/>
      <c r="C655" s="15"/>
      <c r="D655" s="16"/>
      <c r="H655" s="15"/>
      <c r="L655" s="15"/>
      <c r="P655" s="15"/>
      <c r="Q655" s="15"/>
      <c r="R655" s="15"/>
      <c r="S655" s="15"/>
    </row>
    <row r="656" spans="1:19" x14ac:dyDescent="0.25">
      <c r="A656" s="15"/>
      <c r="B656" s="15"/>
      <c r="C656" s="15"/>
      <c r="D656" s="16"/>
      <c r="H656" s="15"/>
      <c r="L656" s="15"/>
      <c r="P656" s="15"/>
      <c r="Q656" s="15"/>
      <c r="R656" s="15"/>
      <c r="S656" s="15"/>
    </row>
    <row r="657" spans="1:19" x14ac:dyDescent="0.25">
      <c r="A657" s="15"/>
      <c r="B657" s="15"/>
      <c r="C657" s="15"/>
      <c r="D657" s="16"/>
      <c r="H657" s="15"/>
      <c r="L657" s="15"/>
      <c r="P657" s="15"/>
      <c r="Q657" s="15"/>
      <c r="R657" s="15"/>
      <c r="S657" s="15"/>
    </row>
    <row r="658" spans="1:19" x14ac:dyDescent="0.25">
      <c r="A658" s="15"/>
      <c r="B658" s="15"/>
      <c r="C658" s="15"/>
      <c r="D658" s="16"/>
      <c r="H658" s="15"/>
      <c r="L658" s="15"/>
      <c r="P658" s="15"/>
      <c r="Q658" s="15"/>
      <c r="R658" s="15"/>
      <c r="S658" s="15"/>
    </row>
    <row r="659" spans="1:19" x14ac:dyDescent="0.25">
      <c r="A659" s="15"/>
      <c r="B659" s="15"/>
      <c r="C659" s="15"/>
      <c r="D659" s="16"/>
      <c r="H659" s="15"/>
      <c r="L659" s="15"/>
      <c r="P659" s="15"/>
      <c r="Q659" s="15"/>
      <c r="R659" s="15"/>
      <c r="S659" s="15"/>
    </row>
    <row r="660" spans="1:19" x14ac:dyDescent="0.25">
      <c r="A660" s="15"/>
      <c r="B660" s="15"/>
      <c r="C660" s="15"/>
      <c r="D660" s="16"/>
      <c r="H660" s="15"/>
      <c r="L660" s="15"/>
      <c r="P660" s="15"/>
      <c r="Q660" s="15"/>
      <c r="R660" s="15"/>
      <c r="S660" s="15"/>
    </row>
    <row r="661" spans="1:19" x14ac:dyDescent="0.25">
      <c r="A661" s="15"/>
      <c r="B661" s="15"/>
      <c r="C661" s="15"/>
      <c r="D661" s="16"/>
      <c r="H661" s="15"/>
      <c r="L661" s="15"/>
      <c r="P661" s="15"/>
      <c r="Q661" s="15"/>
      <c r="R661" s="15"/>
      <c r="S661" s="15"/>
    </row>
    <row r="662" spans="1:19" x14ac:dyDescent="0.25">
      <c r="A662" s="15"/>
      <c r="B662" s="15"/>
      <c r="C662" s="15"/>
      <c r="D662" s="16"/>
      <c r="H662" s="15"/>
      <c r="L662" s="15"/>
      <c r="P662" s="15"/>
      <c r="Q662" s="15"/>
      <c r="R662" s="15"/>
      <c r="S662" s="15"/>
    </row>
    <row r="663" spans="1:19" x14ac:dyDescent="0.25">
      <c r="A663" s="15"/>
      <c r="B663" s="15"/>
      <c r="C663" s="15"/>
      <c r="D663" s="16"/>
      <c r="H663" s="15"/>
      <c r="L663" s="15"/>
      <c r="P663" s="15"/>
      <c r="Q663" s="15"/>
      <c r="R663" s="15"/>
      <c r="S663" s="15"/>
    </row>
    <row r="664" spans="1:19" x14ac:dyDescent="0.25">
      <c r="A664" s="15"/>
      <c r="B664" s="15"/>
      <c r="C664" s="15"/>
      <c r="D664" s="16"/>
      <c r="H664" s="15"/>
      <c r="L664" s="15"/>
      <c r="P664" s="15"/>
      <c r="Q664" s="15"/>
      <c r="R664" s="15"/>
      <c r="S664" s="15"/>
    </row>
    <row r="665" spans="1:19" x14ac:dyDescent="0.25">
      <c r="A665" s="15"/>
      <c r="B665" s="15"/>
      <c r="C665" s="15"/>
      <c r="D665" s="16"/>
      <c r="H665" s="15"/>
      <c r="L665" s="15"/>
      <c r="P665" s="15"/>
      <c r="Q665" s="15"/>
      <c r="R665" s="15"/>
      <c r="S665" s="15"/>
    </row>
    <row r="666" spans="1:19" x14ac:dyDescent="0.25">
      <c r="A666" s="15"/>
      <c r="B666" s="15"/>
      <c r="C666" s="15"/>
      <c r="D666" s="16"/>
      <c r="H666" s="15"/>
      <c r="L666" s="15"/>
      <c r="P666" s="15"/>
      <c r="Q666" s="15"/>
      <c r="R666" s="15"/>
      <c r="S666" s="15"/>
    </row>
    <row r="667" spans="1:19" x14ac:dyDescent="0.25">
      <c r="A667" s="15"/>
      <c r="B667" s="15"/>
      <c r="C667" s="15"/>
      <c r="D667" s="16"/>
      <c r="H667" s="15"/>
      <c r="L667" s="15"/>
      <c r="P667" s="15"/>
      <c r="Q667" s="15"/>
      <c r="R667" s="15"/>
      <c r="S667" s="15"/>
    </row>
    <row r="668" spans="1:19" x14ac:dyDescent="0.25">
      <c r="A668" s="15"/>
      <c r="B668" s="15"/>
      <c r="C668" s="15"/>
      <c r="D668" s="16"/>
      <c r="H668" s="15"/>
      <c r="L668" s="15"/>
      <c r="P668" s="15"/>
      <c r="Q668" s="15"/>
      <c r="R668" s="15"/>
      <c r="S668" s="15"/>
    </row>
    <row r="669" spans="1:19" x14ac:dyDescent="0.25">
      <c r="A669" s="15"/>
      <c r="B669" s="15"/>
      <c r="C669" s="15"/>
      <c r="D669" s="16"/>
      <c r="H669" s="15"/>
      <c r="L669" s="15"/>
      <c r="P669" s="15"/>
      <c r="Q669" s="15"/>
      <c r="R669" s="15"/>
      <c r="S669" s="15"/>
    </row>
    <row r="670" spans="1:19" x14ac:dyDescent="0.25">
      <c r="A670" s="15"/>
      <c r="B670" s="15"/>
      <c r="C670" s="15"/>
      <c r="D670" s="16"/>
      <c r="H670" s="15"/>
      <c r="L670" s="15"/>
      <c r="P670" s="15"/>
      <c r="Q670" s="15"/>
      <c r="R670" s="15"/>
      <c r="S670" s="15"/>
    </row>
    <row r="671" spans="1:19" x14ac:dyDescent="0.25">
      <c r="A671" s="15"/>
      <c r="B671" s="15"/>
      <c r="C671" s="15"/>
      <c r="D671" s="16"/>
      <c r="H671" s="15"/>
      <c r="L671" s="15"/>
      <c r="P671" s="15"/>
      <c r="Q671" s="15"/>
      <c r="R671" s="15"/>
      <c r="S671" s="15"/>
    </row>
    <row r="672" spans="1:19" x14ac:dyDescent="0.25">
      <c r="A672" s="15"/>
      <c r="B672" s="15"/>
      <c r="C672" s="15"/>
      <c r="D672" s="16"/>
      <c r="H672" s="15"/>
      <c r="L672" s="15"/>
      <c r="P672" s="15"/>
      <c r="Q672" s="15"/>
      <c r="R672" s="15"/>
      <c r="S672" s="15"/>
    </row>
    <row r="673" spans="1:19" x14ac:dyDescent="0.25">
      <c r="A673" s="15"/>
      <c r="B673" s="15"/>
      <c r="C673" s="15"/>
      <c r="D673" s="16"/>
      <c r="H673" s="15"/>
      <c r="L673" s="15"/>
      <c r="P673" s="15"/>
      <c r="Q673" s="15"/>
      <c r="R673" s="15"/>
      <c r="S673" s="15"/>
    </row>
    <row r="674" spans="1:19" x14ac:dyDescent="0.25">
      <c r="A674" s="15"/>
      <c r="B674" s="15"/>
      <c r="C674" s="15"/>
      <c r="D674" s="16"/>
      <c r="H674" s="15"/>
      <c r="L674" s="15"/>
      <c r="P674" s="15"/>
      <c r="Q674" s="15"/>
      <c r="R674" s="15"/>
      <c r="S674" s="15"/>
    </row>
    <row r="675" spans="1:19" x14ac:dyDescent="0.25">
      <c r="A675" s="15"/>
      <c r="B675" s="15"/>
      <c r="C675" s="15"/>
      <c r="D675" s="16"/>
      <c r="H675" s="15"/>
      <c r="L675" s="15"/>
      <c r="P675" s="15"/>
      <c r="Q675" s="15"/>
      <c r="R675" s="15"/>
      <c r="S675" s="15"/>
    </row>
    <row r="676" spans="1:19" x14ac:dyDescent="0.25">
      <c r="A676" s="15"/>
      <c r="B676" s="15"/>
      <c r="C676" s="15"/>
      <c r="D676" s="16"/>
      <c r="H676" s="15"/>
      <c r="L676" s="15"/>
      <c r="P676" s="15"/>
      <c r="Q676" s="15"/>
      <c r="R676" s="15"/>
      <c r="S676" s="15"/>
    </row>
    <row r="677" spans="1:19" x14ac:dyDescent="0.25">
      <c r="A677" s="15"/>
      <c r="B677" s="15"/>
      <c r="C677" s="15"/>
      <c r="D677" s="16"/>
      <c r="H677" s="15"/>
      <c r="L677" s="15"/>
      <c r="P677" s="15"/>
      <c r="Q677" s="15"/>
      <c r="R677" s="15"/>
      <c r="S677" s="15"/>
    </row>
    <row r="678" spans="1:19" x14ac:dyDescent="0.25">
      <c r="A678" s="15"/>
      <c r="B678" s="15"/>
      <c r="C678" s="15"/>
      <c r="D678" s="16"/>
      <c r="H678" s="15"/>
      <c r="L678" s="15"/>
      <c r="P678" s="15"/>
      <c r="Q678" s="15"/>
      <c r="R678" s="15"/>
      <c r="S678" s="15"/>
    </row>
    <row r="679" spans="1:19" x14ac:dyDescent="0.25">
      <c r="A679" s="15"/>
      <c r="B679" s="15"/>
      <c r="C679" s="15"/>
      <c r="D679" s="16"/>
      <c r="H679" s="15"/>
      <c r="L679" s="15"/>
      <c r="P679" s="15"/>
      <c r="Q679" s="15"/>
      <c r="R679" s="15"/>
      <c r="S679" s="15"/>
    </row>
    <row r="680" spans="1:19" x14ac:dyDescent="0.25">
      <c r="A680" s="15"/>
      <c r="B680" s="15"/>
      <c r="C680" s="15"/>
      <c r="D680" s="16"/>
      <c r="H680" s="15"/>
      <c r="L680" s="15"/>
      <c r="P680" s="15"/>
      <c r="Q680" s="15"/>
      <c r="R680" s="15"/>
      <c r="S680" s="15"/>
    </row>
    <row r="681" spans="1:19" x14ac:dyDescent="0.25">
      <c r="A681" s="15"/>
      <c r="B681" s="15"/>
      <c r="C681" s="15"/>
      <c r="D681" s="16"/>
      <c r="H681" s="15"/>
      <c r="L681" s="15"/>
      <c r="P681" s="15"/>
      <c r="Q681" s="15"/>
      <c r="R681" s="15"/>
      <c r="S681" s="15"/>
    </row>
    <row r="682" spans="1:19" x14ac:dyDescent="0.25">
      <c r="A682" s="15"/>
      <c r="B682" s="15"/>
      <c r="C682" s="15"/>
      <c r="D682" s="16"/>
      <c r="H682" s="15"/>
      <c r="L682" s="15"/>
      <c r="P682" s="15"/>
      <c r="Q682" s="15"/>
      <c r="R682" s="15"/>
      <c r="S682" s="15"/>
    </row>
    <row r="683" spans="1:19" x14ac:dyDescent="0.25">
      <c r="A683" s="15"/>
      <c r="B683" s="15"/>
      <c r="C683" s="15"/>
      <c r="D683" s="16"/>
      <c r="H683" s="15"/>
      <c r="L683" s="15"/>
      <c r="P683" s="15"/>
      <c r="Q683" s="15"/>
      <c r="R683" s="15"/>
      <c r="S683" s="15"/>
    </row>
    <row r="684" spans="1:19" x14ac:dyDescent="0.25">
      <c r="A684" s="15"/>
      <c r="B684" s="15"/>
      <c r="C684" s="15"/>
      <c r="D684" s="16"/>
      <c r="H684" s="15"/>
      <c r="L684" s="15"/>
      <c r="P684" s="15"/>
      <c r="Q684" s="15"/>
      <c r="R684" s="15"/>
      <c r="S684" s="15"/>
    </row>
    <row r="685" spans="1:19" x14ac:dyDescent="0.25">
      <c r="A685" s="15"/>
      <c r="B685" s="15"/>
      <c r="C685" s="15"/>
      <c r="D685" s="16"/>
      <c r="H685" s="15"/>
      <c r="L685" s="15"/>
      <c r="P685" s="15"/>
      <c r="Q685" s="15"/>
      <c r="R685" s="15"/>
      <c r="S685" s="15"/>
    </row>
    <row r="686" spans="1:19" x14ac:dyDescent="0.25">
      <c r="A686" s="15"/>
      <c r="B686" s="15"/>
      <c r="C686" s="15"/>
      <c r="D686" s="16"/>
      <c r="H686" s="15"/>
      <c r="L686" s="15"/>
      <c r="P686" s="15"/>
      <c r="Q686" s="15"/>
      <c r="R686" s="15"/>
      <c r="S686" s="15"/>
    </row>
    <row r="687" spans="1:19" x14ac:dyDescent="0.25">
      <c r="A687" s="15"/>
      <c r="B687" s="15"/>
      <c r="C687" s="15"/>
      <c r="D687" s="16"/>
      <c r="H687" s="15"/>
      <c r="L687" s="15"/>
      <c r="P687" s="15"/>
      <c r="Q687" s="15"/>
      <c r="R687" s="15"/>
      <c r="S687" s="15"/>
    </row>
    <row r="688" spans="1:19" x14ac:dyDescent="0.25">
      <c r="A688" s="15"/>
      <c r="B688" s="15"/>
      <c r="C688" s="15"/>
      <c r="D688" s="16"/>
      <c r="H688" s="15"/>
      <c r="L688" s="15"/>
      <c r="P688" s="15"/>
      <c r="Q688" s="15"/>
      <c r="R688" s="15"/>
      <c r="S688" s="15"/>
    </row>
    <row r="689" spans="1:19" x14ac:dyDescent="0.25">
      <c r="A689" s="15"/>
      <c r="B689" s="15"/>
      <c r="C689" s="15"/>
      <c r="D689" s="16"/>
      <c r="H689" s="15"/>
      <c r="L689" s="15"/>
      <c r="P689" s="15"/>
      <c r="Q689" s="15"/>
      <c r="R689" s="15"/>
      <c r="S689" s="15"/>
    </row>
    <row r="690" spans="1:19" x14ac:dyDescent="0.25">
      <c r="A690" s="15"/>
      <c r="B690" s="15"/>
      <c r="C690" s="15"/>
      <c r="D690" s="16"/>
      <c r="H690" s="15"/>
      <c r="L690" s="15"/>
      <c r="P690" s="15"/>
      <c r="Q690" s="15"/>
      <c r="R690" s="15"/>
      <c r="S690" s="15"/>
    </row>
    <row r="691" spans="1:19" x14ac:dyDescent="0.25">
      <c r="A691" s="15"/>
      <c r="B691" s="15"/>
      <c r="C691" s="15"/>
      <c r="D691" s="16"/>
      <c r="H691" s="15"/>
      <c r="L691" s="15"/>
      <c r="P691" s="15"/>
      <c r="Q691" s="15"/>
      <c r="R691" s="15"/>
      <c r="S691" s="15"/>
    </row>
    <row r="692" spans="1:19" x14ac:dyDescent="0.25">
      <c r="A692" s="15"/>
      <c r="B692" s="15"/>
      <c r="C692" s="15"/>
      <c r="D692" s="16"/>
      <c r="H692" s="15"/>
      <c r="L692" s="15"/>
      <c r="P692" s="15"/>
      <c r="Q692" s="15"/>
      <c r="R692" s="15"/>
      <c r="S692" s="15"/>
    </row>
    <row r="693" spans="1:19" x14ac:dyDescent="0.25">
      <c r="A693" s="15"/>
      <c r="B693" s="15"/>
      <c r="C693" s="15"/>
      <c r="D693" s="16"/>
      <c r="H693" s="15"/>
      <c r="L693" s="15"/>
      <c r="P693" s="15"/>
      <c r="Q693" s="15"/>
      <c r="R693" s="15"/>
      <c r="S693" s="15"/>
    </row>
    <row r="694" spans="1:19" x14ac:dyDescent="0.25">
      <c r="A694" s="15"/>
      <c r="B694" s="15"/>
      <c r="C694" s="15"/>
      <c r="D694" s="16"/>
      <c r="H694" s="15"/>
      <c r="L694" s="15"/>
      <c r="P694" s="15"/>
      <c r="Q694" s="15"/>
      <c r="R694" s="15"/>
      <c r="S694" s="15"/>
    </row>
    <row r="695" spans="1:19" x14ac:dyDescent="0.25">
      <c r="A695" s="15"/>
      <c r="B695" s="15"/>
      <c r="C695" s="15"/>
      <c r="D695" s="16"/>
      <c r="H695" s="15"/>
      <c r="L695" s="15"/>
      <c r="P695" s="15"/>
      <c r="Q695" s="15"/>
      <c r="R695" s="15"/>
      <c r="S695" s="15"/>
    </row>
    <row r="696" spans="1:19" x14ac:dyDescent="0.25">
      <c r="A696" s="15"/>
      <c r="B696" s="15"/>
      <c r="C696" s="15"/>
      <c r="D696" s="16"/>
      <c r="H696" s="15"/>
      <c r="L696" s="15"/>
      <c r="P696" s="15"/>
      <c r="Q696" s="15"/>
      <c r="R696" s="15"/>
      <c r="S696" s="15"/>
    </row>
    <row r="697" spans="1:19" x14ac:dyDescent="0.25">
      <c r="A697" s="15"/>
      <c r="B697" s="15"/>
      <c r="C697" s="15"/>
      <c r="D697" s="16"/>
      <c r="H697" s="15"/>
      <c r="L697" s="15"/>
      <c r="P697" s="15"/>
      <c r="Q697" s="15"/>
      <c r="R697" s="15"/>
      <c r="S697" s="15"/>
    </row>
    <row r="698" spans="1:19" x14ac:dyDescent="0.25">
      <c r="A698" s="15"/>
      <c r="B698" s="15"/>
      <c r="C698" s="15"/>
      <c r="D698" s="16"/>
      <c r="H698" s="15"/>
      <c r="L698" s="15"/>
      <c r="P698" s="15"/>
      <c r="Q698" s="15"/>
      <c r="R698" s="15"/>
      <c r="S698" s="15"/>
    </row>
    <row r="699" spans="1:19" x14ac:dyDescent="0.25">
      <c r="A699" s="15"/>
      <c r="B699" s="15"/>
      <c r="C699" s="15"/>
      <c r="D699" s="16"/>
      <c r="H699" s="15"/>
      <c r="L699" s="15"/>
      <c r="P699" s="15"/>
      <c r="Q699" s="15"/>
      <c r="R699" s="15"/>
      <c r="S699" s="15"/>
    </row>
    <row r="700" spans="1:19" x14ac:dyDescent="0.25">
      <c r="A700" s="15"/>
      <c r="B700" s="15"/>
      <c r="C700" s="15"/>
      <c r="D700" s="16"/>
      <c r="H700" s="15"/>
      <c r="L700" s="15"/>
      <c r="P700" s="15"/>
      <c r="Q700" s="15"/>
      <c r="R700" s="15"/>
      <c r="S700" s="15"/>
    </row>
    <row r="701" spans="1:19" x14ac:dyDescent="0.25">
      <c r="A701" s="15"/>
      <c r="B701" s="15"/>
      <c r="C701" s="15"/>
      <c r="D701" s="16"/>
      <c r="H701" s="15"/>
      <c r="L701" s="15"/>
      <c r="P701" s="15"/>
      <c r="Q701" s="15"/>
      <c r="R701" s="15"/>
      <c r="S701" s="15"/>
    </row>
    <row r="702" spans="1:19" x14ac:dyDescent="0.25">
      <c r="A702" s="15"/>
      <c r="B702" s="15"/>
      <c r="C702" s="15"/>
      <c r="D702" s="16"/>
      <c r="H702" s="15"/>
      <c r="L702" s="15"/>
      <c r="P702" s="15"/>
      <c r="Q702" s="15"/>
      <c r="R702" s="15"/>
      <c r="S702" s="15"/>
    </row>
    <row r="703" spans="1:19" x14ac:dyDescent="0.25">
      <c r="A703" s="15"/>
      <c r="B703" s="15"/>
      <c r="C703" s="15"/>
      <c r="D703" s="16"/>
      <c r="H703" s="15"/>
      <c r="L703" s="15"/>
      <c r="P703" s="15"/>
      <c r="Q703" s="15"/>
      <c r="R703" s="15"/>
      <c r="S703" s="15"/>
    </row>
    <row r="704" spans="1:19" x14ac:dyDescent="0.25">
      <c r="A704" s="15"/>
      <c r="B704" s="15"/>
      <c r="C704" s="15"/>
      <c r="D704" s="16"/>
      <c r="H704" s="15"/>
      <c r="L704" s="15"/>
      <c r="P704" s="15"/>
      <c r="Q704" s="15"/>
      <c r="R704" s="15"/>
      <c r="S704" s="15"/>
    </row>
    <row r="705" spans="1:19" x14ac:dyDescent="0.25">
      <c r="A705" s="15"/>
      <c r="B705" s="15"/>
      <c r="C705" s="15"/>
      <c r="D705" s="16"/>
      <c r="H705" s="15"/>
      <c r="L705" s="15"/>
      <c r="P705" s="15"/>
      <c r="Q705" s="15"/>
      <c r="R705" s="15"/>
      <c r="S705" s="15"/>
    </row>
    <row r="706" spans="1:19" x14ac:dyDescent="0.25">
      <c r="A706" s="15"/>
      <c r="B706" s="15"/>
      <c r="C706" s="15"/>
      <c r="D706" s="16"/>
      <c r="H706" s="15"/>
      <c r="L706" s="15"/>
      <c r="P706" s="15"/>
      <c r="Q706" s="15"/>
      <c r="R706" s="15"/>
      <c r="S706" s="15"/>
    </row>
    <row r="707" spans="1:19" x14ac:dyDescent="0.25">
      <c r="A707" s="15"/>
      <c r="B707" s="15"/>
      <c r="C707" s="15"/>
      <c r="D707" s="16"/>
      <c r="H707" s="15"/>
      <c r="L707" s="15"/>
      <c r="P707" s="15"/>
      <c r="Q707" s="15"/>
      <c r="R707" s="15"/>
      <c r="S707" s="15"/>
    </row>
    <row r="708" spans="1:19" x14ac:dyDescent="0.25">
      <c r="A708" s="15"/>
      <c r="B708" s="15"/>
      <c r="C708" s="15"/>
      <c r="D708" s="16"/>
      <c r="H708" s="15"/>
      <c r="L708" s="15"/>
      <c r="P708" s="15"/>
      <c r="Q708" s="15"/>
      <c r="R708" s="15"/>
      <c r="S708" s="15"/>
    </row>
    <row r="709" spans="1:19" x14ac:dyDescent="0.25">
      <c r="A709" s="15"/>
      <c r="B709" s="15"/>
      <c r="C709" s="15"/>
      <c r="D709" s="16"/>
      <c r="H709" s="15"/>
      <c r="L709" s="15"/>
      <c r="P709" s="15"/>
      <c r="Q709" s="15"/>
      <c r="R709" s="15"/>
      <c r="S709" s="15"/>
    </row>
    <row r="710" spans="1:19" x14ac:dyDescent="0.25">
      <c r="A710" s="15"/>
      <c r="B710" s="15"/>
      <c r="C710" s="15"/>
      <c r="D710" s="16"/>
      <c r="H710" s="15"/>
      <c r="L710" s="15"/>
      <c r="P710" s="15"/>
      <c r="Q710" s="15"/>
      <c r="R710" s="15"/>
      <c r="S710" s="15"/>
    </row>
    <row r="711" spans="1:19" x14ac:dyDescent="0.25">
      <c r="A711" s="15"/>
      <c r="B711" s="15"/>
      <c r="C711" s="15"/>
      <c r="D711" s="16"/>
      <c r="H711" s="15"/>
      <c r="L711" s="15"/>
      <c r="P711" s="15"/>
      <c r="Q711" s="15"/>
      <c r="R711" s="15"/>
      <c r="S711" s="15"/>
    </row>
    <row r="712" spans="1:19" x14ac:dyDescent="0.25">
      <c r="A712" s="15"/>
      <c r="B712" s="15"/>
      <c r="C712" s="15"/>
      <c r="D712" s="16"/>
      <c r="H712" s="15"/>
      <c r="L712" s="15"/>
      <c r="P712" s="15"/>
      <c r="Q712" s="15"/>
      <c r="R712" s="15"/>
      <c r="S712" s="15"/>
    </row>
    <row r="713" spans="1:19" x14ac:dyDescent="0.25">
      <c r="A713" s="15"/>
      <c r="B713" s="15"/>
      <c r="C713" s="15"/>
      <c r="D713" s="16"/>
      <c r="H713" s="15"/>
      <c r="L713" s="15"/>
      <c r="P713" s="15"/>
      <c r="Q713" s="15"/>
      <c r="R713" s="15"/>
      <c r="S713" s="15"/>
    </row>
    <row r="714" spans="1:19" x14ac:dyDescent="0.25">
      <c r="A714" s="15"/>
      <c r="B714" s="15"/>
      <c r="C714" s="15"/>
      <c r="D714" s="16"/>
      <c r="H714" s="15"/>
      <c r="L714" s="15"/>
      <c r="P714" s="15"/>
      <c r="Q714" s="15"/>
      <c r="R714" s="15"/>
      <c r="S714" s="15"/>
    </row>
    <row r="715" spans="1:19" x14ac:dyDescent="0.25">
      <c r="A715" s="15"/>
      <c r="B715" s="15"/>
      <c r="C715" s="15"/>
      <c r="D715" s="16"/>
      <c r="H715" s="15"/>
      <c r="L715" s="15"/>
      <c r="P715" s="15"/>
      <c r="Q715" s="15"/>
      <c r="R715" s="15"/>
      <c r="S715" s="15"/>
    </row>
    <row r="716" spans="1:19" x14ac:dyDescent="0.25">
      <c r="A716" s="15"/>
      <c r="B716" s="15"/>
      <c r="C716" s="15"/>
      <c r="D716" s="16"/>
      <c r="H716" s="15"/>
      <c r="L716" s="15"/>
      <c r="P716" s="15"/>
      <c r="Q716" s="15"/>
      <c r="R716" s="15"/>
      <c r="S716" s="15"/>
    </row>
    <row r="717" spans="1:19" x14ac:dyDescent="0.25">
      <c r="A717" s="15"/>
      <c r="B717" s="15"/>
      <c r="C717" s="15"/>
      <c r="D717" s="16"/>
      <c r="H717" s="15"/>
      <c r="L717" s="15"/>
      <c r="P717" s="15"/>
      <c r="Q717" s="15"/>
      <c r="R717" s="15"/>
      <c r="S717" s="15"/>
    </row>
    <row r="718" spans="1:19" x14ac:dyDescent="0.25">
      <c r="A718" s="15"/>
      <c r="B718" s="15"/>
      <c r="C718" s="15"/>
      <c r="D718" s="16"/>
      <c r="H718" s="15"/>
      <c r="L718" s="15"/>
      <c r="P718" s="15"/>
      <c r="Q718" s="15"/>
      <c r="R718" s="15"/>
      <c r="S718" s="15"/>
    </row>
    <row r="719" spans="1:19" x14ac:dyDescent="0.25">
      <c r="A719" s="15"/>
      <c r="B719" s="15"/>
      <c r="C719" s="15"/>
      <c r="D719" s="16"/>
      <c r="H719" s="15"/>
      <c r="L719" s="15"/>
      <c r="P719" s="15"/>
      <c r="Q719" s="15"/>
      <c r="R719" s="15"/>
      <c r="S719" s="15"/>
    </row>
    <row r="720" spans="1:19" x14ac:dyDescent="0.25">
      <c r="A720" s="15"/>
      <c r="B720" s="15"/>
      <c r="C720" s="15"/>
      <c r="D720" s="16"/>
      <c r="H720" s="15"/>
      <c r="L720" s="15"/>
      <c r="P720" s="15"/>
      <c r="Q720" s="15"/>
      <c r="R720" s="15"/>
      <c r="S720" s="15"/>
    </row>
    <row r="721" spans="1:19" x14ac:dyDescent="0.25">
      <c r="A721" s="15"/>
      <c r="B721" s="15"/>
      <c r="C721" s="15"/>
      <c r="D721" s="16"/>
      <c r="H721" s="15"/>
      <c r="L721" s="15"/>
      <c r="P721" s="15"/>
      <c r="Q721" s="15"/>
      <c r="R721" s="15"/>
      <c r="S721" s="15"/>
    </row>
    <row r="722" spans="1:19" x14ac:dyDescent="0.25">
      <c r="A722" s="15"/>
      <c r="B722" s="15"/>
      <c r="C722" s="15"/>
      <c r="D722" s="16"/>
      <c r="H722" s="15"/>
      <c r="L722" s="15"/>
      <c r="P722" s="15"/>
      <c r="Q722" s="15"/>
      <c r="R722" s="15"/>
      <c r="S722" s="15"/>
    </row>
    <row r="723" spans="1:19" x14ac:dyDescent="0.25">
      <c r="A723" s="15"/>
      <c r="B723" s="15"/>
      <c r="C723" s="15"/>
      <c r="D723" s="16"/>
      <c r="H723" s="15"/>
      <c r="L723" s="15"/>
      <c r="P723" s="15"/>
      <c r="Q723" s="15"/>
      <c r="R723" s="15"/>
      <c r="S723" s="15"/>
    </row>
    <row r="724" spans="1:19" x14ac:dyDescent="0.25">
      <c r="A724" s="15"/>
      <c r="B724" s="15"/>
      <c r="C724" s="15"/>
      <c r="D724" s="16"/>
      <c r="H724" s="15"/>
      <c r="L724" s="15"/>
      <c r="P724" s="15"/>
      <c r="Q724" s="15"/>
      <c r="R724" s="15"/>
      <c r="S724" s="15"/>
    </row>
    <row r="725" spans="1:19" x14ac:dyDescent="0.25">
      <c r="A725" s="15"/>
      <c r="B725" s="15"/>
      <c r="C725" s="15"/>
      <c r="D725" s="16"/>
      <c r="H725" s="15"/>
      <c r="L725" s="15"/>
      <c r="P725" s="15"/>
      <c r="Q725" s="15"/>
      <c r="R725" s="15"/>
      <c r="S725" s="15"/>
    </row>
    <row r="726" spans="1:19" x14ac:dyDescent="0.25">
      <c r="A726" s="15"/>
      <c r="B726" s="15"/>
      <c r="C726" s="15"/>
      <c r="D726" s="16"/>
      <c r="H726" s="15"/>
      <c r="L726" s="15"/>
      <c r="P726" s="15"/>
      <c r="Q726" s="15"/>
      <c r="R726" s="15"/>
      <c r="S726" s="15"/>
    </row>
    <row r="727" spans="1:19" x14ac:dyDescent="0.25">
      <c r="A727" s="15"/>
      <c r="B727" s="15"/>
      <c r="C727" s="15"/>
      <c r="D727" s="16"/>
      <c r="H727" s="15"/>
      <c r="L727" s="15"/>
      <c r="P727" s="15"/>
      <c r="Q727" s="15"/>
      <c r="R727" s="15"/>
      <c r="S727" s="15"/>
    </row>
    <row r="728" spans="1:19" x14ac:dyDescent="0.25">
      <c r="A728" s="15"/>
      <c r="B728" s="15"/>
      <c r="C728" s="15"/>
      <c r="D728" s="16"/>
      <c r="H728" s="15"/>
      <c r="L728" s="15"/>
      <c r="P728" s="15"/>
      <c r="Q728" s="15"/>
      <c r="R728" s="15"/>
      <c r="S728" s="15"/>
    </row>
    <row r="729" spans="1:19" x14ac:dyDescent="0.25">
      <c r="A729" s="15"/>
      <c r="B729" s="15"/>
      <c r="C729" s="15"/>
      <c r="D729" s="16"/>
      <c r="H729" s="15"/>
      <c r="L729" s="15"/>
      <c r="P729" s="15"/>
      <c r="Q729" s="15"/>
      <c r="R729" s="15"/>
      <c r="S729" s="15"/>
    </row>
    <row r="730" spans="1:19" x14ac:dyDescent="0.25">
      <c r="A730" s="15"/>
      <c r="B730" s="15"/>
      <c r="C730" s="15"/>
      <c r="D730" s="16"/>
      <c r="H730" s="15"/>
      <c r="L730" s="15"/>
      <c r="P730" s="15"/>
      <c r="Q730" s="15"/>
      <c r="R730" s="15"/>
      <c r="S730" s="15"/>
    </row>
    <row r="731" spans="1:19" x14ac:dyDescent="0.25">
      <c r="A731" s="15"/>
      <c r="B731" s="15"/>
      <c r="C731" s="15"/>
      <c r="D731" s="16"/>
      <c r="H731" s="15"/>
      <c r="L731" s="15"/>
      <c r="P731" s="15"/>
      <c r="Q731" s="15"/>
      <c r="R731" s="15"/>
      <c r="S731" s="15"/>
    </row>
    <row r="732" spans="1:19" x14ac:dyDescent="0.25">
      <c r="A732" s="15"/>
      <c r="B732" s="15"/>
      <c r="C732" s="15"/>
      <c r="D732" s="16"/>
      <c r="H732" s="15"/>
      <c r="L732" s="15"/>
      <c r="P732" s="15"/>
      <c r="Q732" s="15"/>
      <c r="R732" s="15"/>
      <c r="S732" s="15"/>
    </row>
    <row r="733" spans="1:19" x14ac:dyDescent="0.25">
      <c r="A733" s="15"/>
      <c r="B733" s="15"/>
      <c r="C733" s="15"/>
      <c r="D733" s="16"/>
      <c r="H733" s="15"/>
      <c r="L733" s="15"/>
      <c r="P733" s="15"/>
      <c r="Q733" s="15"/>
      <c r="R733" s="15"/>
      <c r="S733" s="15"/>
    </row>
    <row r="734" spans="1:19" x14ac:dyDescent="0.25">
      <c r="A734" s="15"/>
      <c r="B734" s="15"/>
      <c r="C734" s="15"/>
      <c r="D734" s="16"/>
      <c r="H734" s="15"/>
      <c r="L734" s="15"/>
      <c r="P734" s="15"/>
      <c r="Q734" s="15"/>
      <c r="R734" s="15"/>
      <c r="S734" s="15"/>
    </row>
    <row r="735" spans="1:19" x14ac:dyDescent="0.25">
      <c r="A735" s="15"/>
      <c r="B735" s="15"/>
      <c r="C735" s="15"/>
      <c r="D735" s="16"/>
      <c r="H735" s="15"/>
      <c r="L735" s="15"/>
      <c r="P735" s="15"/>
      <c r="Q735" s="15"/>
      <c r="R735" s="15"/>
      <c r="S735" s="15"/>
    </row>
    <row r="736" spans="1:19" x14ac:dyDescent="0.25">
      <c r="A736" s="15"/>
      <c r="B736" s="15"/>
      <c r="C736" s="15"/>
      <c r="D736" s="16"/>
      <c r="H736" s="15"/>
      <c r="L736" s="15"/>
      <c r="P736" s="15"/>
      <c r="Q736" s="15"/>
      <c r="R736" s="15"/>
      <c r="S736" s="15"/>
    </row>
    <row r="737" spans="1:19" x14ac:dyDescent="0.25">
      <c r="A737" s="15"/>
      <c r="B737" s="15"/>
      <c r="C737" s="15"/>
      <c r="D737" s="16"/>
      <c r="H737" s="15"/>
      <c r="L737" s="15"/>
      <c r="P737" s="15"/>
      <c r="Q737" s="15"/>
      <c r="R737" s="15"/>
      <c r="S737" s="15"/>
    </row>
    <row r="738" spans="1:19" x14ac:dyDescent="0.25">
      <c r="A738" s="15"/>
      <c r="B738" s="15"/>
      <c r="C738" s="15"/>
      <c r="D738" s="16"/>
      <c r="H738" s="15"/>
      <c r="L738" s="15"/>
      <c r="P738" s="15"/>
      <c r="Q738" s="15"/>
      <c r="R738" s="15"/>
      <c r="S738" s="15"/>
    </row>
    <row r="739" spans="1:19" x14ac:dyDescent="0.25">
      <c r="A739" s="15"/>
      <c r="B739" s="15"/>
      <c r="C739" s="15"/>
      <c r="D739" s="16"/>
      <c r="H739" s="15"/>
      <c r="L739" s="15"/>
      <c r="P739" s="15"/>
      <c r="Q739" s="15"/>
      <c r="R739" s="15"/>
      <c r="S739" s="15"/>
    </row>
    <row r="740" spans="1:19" x14ac:dyDescent="0.25">
      <c r="A740" s="15"/>
      <c r="B740" s="15"/>
      <c r="C740" s="15"/>
      <c r="D740" s="16"/>
      <c r="H740" s="15"/>
      <c r="L740" s="15"/>
      <c r="P740" s="15"/>
      <c r="Q740" s="15"/>
      <c r="R740" s="15"/>
      <c r="S740" s="15"/>
    </row>
    <row r="741" spans="1:19" x14ac:dyDescent="0.25">
      <c r="A741" s="15"/>
      <c r="B741" s="15"/>
      <c r="C741" s="15"/>
      <c r="D741" s="16"/>
      <c r="H741" s="15"/>
      <c r="L741" s="15"/>
      <c r="P741" s="15"/>
      <c r="Q741" s="15"/>
      <c r="R741" s="15"/>
      <c r="S741" s="15"/>
    </row>
    <row r="742" spans="1:19" x14ac:dyDescent="0.25">
      <c r="A742" s="15"/>
      <c r="B742" s="15"/>
      <c r="C742" s="15"/>
      <c r="D742" s="16"/>
      <c r="H742" s="15"/>
      <c r="L742" s="15"/>
      <c r="P742" s="15"/>
      <c r="Q742" s="15"/>
      <c r="R742" s="15"/>
      <c r="S742" s="15"/>
    </row>
    <row r="743" spans="1:19" x14ac:dyDescent="0.25">
      <c r="A743" s="15"/>
      <c r="B743" s="15"/>
      <c r="C743" s="15"/>
      <c r="D743" s="16"/>
      <c r="H743" s="15"/>
      <c r="L743" s="15"/>
      <c r="P743" s="15"/>
      <c r="Q743" s="15"/>
      <c r="R743" s="15"/>
      <c r="S743" s="15"/>
    </row>
    <row r="744" spans="1:19" x14ac:dyDescent="0.25">
      <c r="A744" s="15"/>
      <c r="B744" s="15"/>
      <c r="C744" s="15"/>
      <c r="D744" s="16"/>
      <c r="H744" s="15"/>
      <c r="L744" s="15"/>
      <c r="P744" s="15"/>
      <c r="Q744" s="15"/>
      <c r="R744" s="15"/>
      <c r="S744" s="15"/>
    </row>
    <row r="745" spans="1:19" x14ac:dyDescent="0.25">
      <c r="A745" s="15"/>
      <c r="B745" s="15"/>
      <c r="C745" s="15"/>
      <c r="D745" s="16"/>
      <c r="H745" s="15"/>
      <c r="L745" s="15"/>
      <c r="P745" s="15"/>
      <c r="Q745" s="15"/>
      <c r="R745" s="15"/>
      <c r="S745" s="15"/>
    </row>
    <row r="746" spans="1:19" x14ac:dyDescent="0.25">
      <c r="A746" s="15"/>
      <c r="B746" s="15"/>
      <c r="C746" s="15"/>
      <c r="D746" s="16"/>
      <c r="H746" s="15"/>
      <c r="L746" s="15"/>
      <c r="P746" s="15"/>
      <c r="Q746" s="15"/>
      <c r="R746" s="15"/>
      <c r="S746" s="15"/>
    </row>
    <row r="747" spans="1:19" x14ac:dyDescent="0.25">
      <c r="A747" s="15"/>
      <c r="B747" s="15"/>
      <c r="C747" s="15"/>
      <c r="D747" s="16"/>
      <c r="H747" s="15"/>
      <c r="L747" s="15"/>
      <c r="P747" s="15"/>
      <c r="Q747" s="15"/>
      <c r="R747" s="15"/>
      <c r="S747" s="15"/>
    </row>
    <row r="748" spans="1:19" x14ac:dyDescent="0.25">
      <c r="A748" s="15"/>
      <c r="B748" s="15"/>
      <c r="C748" s="15"/>
      <c r="D748" s="16"/>
      <c r="H748" s="15"/>
      <c r="L748" s="15"/>
      <c r="P748" s="15"/>
      <c r="Q748" s="15"/>
      <c r="R748" s="15"/>
      <c r="S748" s="15"/>
    </row>
    <row r="749" spans="1:19" x14ac:dyDescent="0.25">
      <c r="A749" s="15"/>
      <c r="B749" s="15"/>
      <c r="C749" s="15"/>
      <c r="D749" s="16"/>
      <c r="H749" s="15"/>
      <c r="L749" s="15"/>
      <c r="P749" s="15"/>
      <c r="Q749" s="15"/>
      <c r="R749" s="15"/>
      <c r="S749" s="15"/>
    </row>
    <row r="750" spans="1:19" x14ac:dyDescent="0.25">
      <c r="A750" s="15"/>
      <c r="B750" s="15"/>
      <c r="C750" s="15"/>
      <c r="D750" s="16"/>
      <c r="H750" s="15"/>
      <c r="L750" s="15"/>
      <c r="P750" s="15"/>
      <c r="Q750" s="15"/>
      <c r="R750" s="15"/>
      <c r="S750" s="15"/>
    </row>
    <row r="751" spans="1:19" x14ac:dyDescent="0.25">
      <c r="A751" s="15"/>
      <c r="B751" s="15"/>
      <c r="C751" s="15"/>
      <c r="D751" s="16"/>
      <c r="H751" s="15"/>
      <c r="L751" s="15"/>
      <c r="P751" s="15"/>
      <c r="Q751" s="15"/>
      <c r="R751" s="15"/>
      <c r="S751" s="15"/>
    </row>
    <row r="752" spans="1:19" x14ac:dyDescent="0.25">
      <c r="A752" s="15"/>
      <c r="B752" s="15"/>
      <c r="C752" s="15"/>
      <c r="D752" s="16"/>
      <c r="H752" s="15"/>
      <c r="L752" s="15"/>
      <c r="P752" s="15"/>
      <c r="Q752" s="15"/>
      <c r="R752" s="15"/>
      <c r="S752" s="15"/>
    </row>
    <row r="753" spans="1:19" x14ac:dyDescent="0.25">
      <c r="A753" s="15"/>
      <c r="B753" s="15"/>
      <c r="C753" s="15"/>
      <c r="D753" s="16"/>
      <c r="H753" s="15"/>
      <c r="L753" s="15"/>
      <c r="P753" s="15"/>
      <c r="Q753" s="15"/>
      <c r="R753" s="15"/>
      <c r="S753" s="15"/>
    </row>
    <row r="754" spans="1:19" x14ac:dyDescent="0.25">
      <c r="A754" s="15"/>
      <c r="B754" s="15"/>
      <c r="C754" s="15"/>
      <c r="D754" s="16"/>
      <c r="H754" s="15"/>
      <c r="L754" s="15"/>
      <c r="P754" s="15"/>
      <c r="Q754" s="15"/>
      <c r="R754" s="15"/>
      <c r="S754" s="15"/>
    </row>
    <row r="755" spans="1:19" x14ac:dyDescent="0.25">
      <c r="A755" s="15"/>
      <c r="B755" s="15"/>
      <c r="C755" s="15"/>
      <c r="D755" s="16"/>
      <c r="H755" s="15"/>
      <c r="L755" s="15"/>
      <c r="P755" s="15"/>
      <c r="Q755" s="15"/>
      <c r="R755" s="15"/>
      <c r="S755" s="15"/>
    </row>
    <row r="756" spans="1:19" x14ac:dyDescent="0.25">
      <c r="A756" s="15"/>
      <c r="B756" s="15"/>
      <c r="C756" s="15"/>
      <c r="D756" s="16"/>
      <c r="H756" s="15"/>
      <c r="L756" s="15"/>
      <c r="P756" s="15"/>
      <c r="Q756" s="15"/>
      <c r="R756" s="15"/>
      <c r="S756" s="15"/>
    </row>
    <row r="757" spans="1:19" x14ac:dyDescent="0.25">
      <c r="A757" s="15"/>
      <c r="B757" s="15"/>
      <c r="C757" s="15"/>
      <c r="D757" s="16"/>
      <c r="H757" s="15"/>
      <c r="L757" s="15"/>
      <c r="P757" s="15"/>
      <c r="Q757" s="15"/>
      <c r="R757" s="15"/>
      <c r="S757" s="15"/>
    </row>
    <row r="758" spans="1:19" x14ac:dyDescent="0.25">
      <c r="A758" s="15"/>
      <c r="B758" s="15"/>
      <c r="C758" s="15"/>
      <c r="D758" s="16"/>
      <c r="H758" s="15"/>
      <c r="L758" s="15"/>
      <c r="P758" s="15"/>
      <c r="Q758" s="15"/>
      <c r="R758" s="15"/>
      <c r="S758" s="15"/>
    </row>
    <row r="759" spans="1:19" x14ac:dyDescent="0.25">
      <c r="A759" s="15"/>
      <c r="B759" s="15"/>
      <c r="C759" s="15"/>
      <c r="D759" s="16"/>
      <c r="H759" s="15"/>
      <c r="L759" s="15"/>
      <c r="P759" s="15"/>
      <c r="Q759" s="15"/>
      <c r="R759" s="15"/>
      <c r="S759" s="15"/>
    </row>
    <row r="760" spans="1:19" x14ac:dyDescent="0.25">
      <c r="A760" s="15"/>
      <c r="B760" s="15"/>
      <c r="C760" s="15"/>
      <c r="D760" s="16"/>
      <c r="H760" s="15"/>
      <c r="L760" s="15"/>
      <c r="P760" s="15"/>
      <c r="Q760" s="15"/>
      <c r="R760" s="15"/>
      <c r="S760" s="15"/>
    </row>
    <row r="761" spans="1:19" x14ac:dyDescent="0.25">
      <c r="A761" s="15"/>
      <c r="B761" s="15"/>
      <c r="C761" s="15"/>
      <c r="D761" s="16"/>
      <c r="H761" s="15"/>
      <c r="L761" s="15"/>
      <c r="P761" s="15"/>
      <c r="Q761" s="15"/>
      <c r="R761" s="15"/>
      <c r="S761" s="15"/>
    </row>
    <row r="762" spans="1:19" x14ac:dyDescent="0.25">
      <c r="A762" s="15"/>
      <c r="B762" s="15"/>
      <c r="C762" s="15"/>
      <c r="D762" s="16"/>
      <c r="H762" s="15"/>
      <c r="L762" s="15"/>
      <c r="P762" s="15"/>
      <c r="Q762" s="15"/>
      <c r="R762" s="15"/>
      <c r="S762" s="15"/>
    </row>
    <row r="763" spans="1:19" x14ac:dyDescent="0.25">
      <c r="A763" s="15"/>
      <c r="B763" s="15"/>
      <c r="C763" s="15"/>
      <c r="D763" s="16"/>
      <c r="H763" s="15"/>
      <c r="L763" s="15"/>
      <c r="P763" s="15"/>
      <c r="Q763" s="15"/>
      <c r="R763" s="15"/>
      <c r="S763" s="15"/>
    </row>
    <row r="764" spans="1:19" x14ac:dyDescent="0.25">
      <c r="A764" s="15"/>
      <c r="B764" s="15"/>
      <c r="C764" s="15"/>
      <c r="D764" s="16"/>
      <c r="H764" s="15"/>
      <c r="L764" s="15"/>
      <c r="P764" s="15"/>
      <c r="Q764" s="15"/>
      <c r="R764" s="15"/>
      <c r="S764" s="15"/>
    </row>
    <row r="765" spans="1:19" x14ac:dyDescent="0.25">
      <c r="A765" s="15"/>
      <c r="B765" s="15"/>
      <c r="C765" s="15"/>
      <c r="D765" s="16"/>
      <c r="H765" s="15"/>
      <c r="L765" s="15"/>
      <c r="P765" s="15"/>
      <c r="Q765" s="15"/>
      <c r="R765" s="15"/>
      <c r="S765" s="15"/>
    </row>
    <row r="766" spans="1:19" x14ac:dyDescent="0.25">
      <c r="A766" s="15"/>
      <c r="B766" s="15"/>
      <c r="C766" s="15"/>
      <c r="D766" s="16"/>
      <c r="H766" s="15"/>
      <c r="L766" s="15"/>
      <c r="P766" s="15"/>
      <c r="Q766" s="15"/>
      <c r="R766" s="15"/>
      <c r="S766" s="15"/>
    </row>
    <row r="767" spans="1:19" x14ac:dyDescent="0.25">
      <c r="A767" s="15"/>
      <c r="B767" s="15"/>
      <c r="C767" s="15"/>
      <c r="D767" s="16"/>
      <c r="H767" s="15"/>
      <c r="L767" s="15"/>
      <c r="P767" s="15"/>
      <c r="Q767" s="15"/>
      <c r="R767" s="15"/>
      <c r="S767" s="15"/>
    </row>
    <row r="768" spans="1:19" x14ac:dyDescent="0.25">
      <c r="A768" s="15"/>
      <c r="B768" s="15"/>
      <c r="C768" s="15"/>
      <c r="D768" s="16"/>
      <c r="H768" s="15"/>
      <c r="L768" s="15"/>
      <c r="P768" s="15"/>
      <c r="Q768" s="15"/>
      <c r="R768" s="15"/>
      <c r="S768" s="15"/>
    </row>
    <row r="769" spans="1:19" x14ac:dyDescent="0.25">
      <c r="A769" s="15"/>
      <c r="B769" s="15"/>
      <c r="C769" s="15"/>
      <c r="D769" s="16"/>
      <c r="H769" s="15"/>
      <c r="L769" s="15"/>
      <c r="P769" s="15"/>
      <c r="Q769" s="15"/>
      <c r="R769" s="15"/>
      <c r="S769" s="15"/>
    </row>
    <row r="770" spans="1:19" x14ac:dyDescent="0.25">
      <c r="A770" s="15"/>
      <c r="B770" s="15"/>
      <c r="C770" s="15"/>
      <c r="D770" s="16"/>
      <c r="H770" s="15"/>
      <c r="L770" s="15"/>
      <c r="P770" s="15"/>
      <c r="Q770" s="15"/>
      <c r="R770" s="15"/>
      <c r="S770" s="15"/>
    </row>
    <row r="771" spans="1:19" x14ac:dyDescent="0.25">
      <c r="A771" s="15"/>
      <c r="B771" s="15"/>
      <c r="C771" s="15"/>
      <c r="D771" s="16"/>
      <c r="H771" s="15"/>
      <c r="L771" s="15"/>
      <c r="P771" s="15"/>
      <c r="Q771" s="15"/>
      <c r="R771" s="15"/>
      <c r="S771" s="15"/>
    </row>
    <row r="772" spans="1:19" x14ac:dyDescent="0.25">
      <c r="A772" s="15"/>
      <c r="B772" s="15"/>
      <c r="C772" s="15"/>
      <c r="D772" s="16"/>
      <c r="H772" s="15"/>
      <c r="L772" s="15"/>
      <c r="P772" s="15"/>
      <c r="Q772" s="15"/>
      <c r="R772" s="15"/>
      <c r="S772" s="15"/>
    </row>
    <row r="773" spans="1:19" x14ac:dyDescent="0.25">
      <c r="A773" s="15"/>
      <c r="B773" s="15"/>
      <c r="C773" s="15"/>
      <c r="D773" s="16"/>
      <c r="H773" s="15"/>
      <c r="L773" s="15"/>
      <c r="P773" s="15"/>
      <c r="Q773" s="15"/>
      <c r="R773" s="15"/>
      <c r="S773" s="15"/>
    </row>
    <row r="774" spans="1:19" x14ac:dyDescent="0.25">
      <c r="A774" s="15"/>
      <c r="B774" s="15"/>
      <c r="C774" s="15"/>
      <c r="D774" s="16"/>
      <c r="H774" s="15"/>
      <c r="L774" s="15"/>
      <c r="P774" s="15"/>
      <c r="Q774" s="15"/>
      <c r="R774" s="15"/>
      <c r="S774" s="15"/>
    </row>
    <row r="775" spans="1:19" x14ac:dyDescent="0.25">
      <c r="A775" s="15"/>
      <c r="B775" s="15"/>
      <c r="C775" s="15"/>
      <c r="D775" s="16"/>
      <c r="H775" s="15"/>
      <c r="L775" s="15"/>
      <c r="P775" s="15"/>
      <c r="Q775" s="15"/>
      <c r="R775" s="15"/>
      <c r="S775" s="15"/>
    </row>
    <row r="776" spans="1:19" x14ac:dyDescent="0.25">
      <c r="A776" s="15"/>
      <c r="B776" s="15"/>
      <c r="C776" s="15"/>
      <c r="D776" s="16"/>
      <c r="H776" s="15"/>
      <c r="L776" s="15"/>
      <c r="P776" s="15"/>
      <c r="Q776" s="15"/>
      <c r="R776" s="15"/>
      <c r="S776" s="15"/>
    </row>
    <row r="777" spans="1:19" x14ac:dyDescent="0.25">
      <c r="A777" s="15"/>
      <c r="B777" s="15"/>
      <c r="C777" s="15"/>
      <c r="D777" s="16"/>
      <c r="H777" s="15"/>
      <c r="L777" s="15"/>
      <c r="P777" s="15"/>
      <c r="Q777" s="15"/>
      <c r="R777" s="15"/>
      <c r="S777" s="15"/>
    </row>
    <row r="778" spans="1:19" x14ac:dyDescent="0.25">
      <c r="A778" s="15"/>
      <c r="B778" s="15"/>
      <c r="C778" s="15"/>
      <c r="D778" s="16"/>
      <c r="H778" s="15"/>
      <c r="L778" s="15"/>
      <c r="P778" s="15"/>
      <c r="Q778" s="15"/>
      <c r="R778" s="15"/>
      <c r="S778" s="15"/>
    </row>
    <row r="779" spans="1:19" x14ac:dyDescent="0.25">
      <c r="A779" s="15"/>
      <c r="B779" s="15"/>
      <c r="C779" s="15"/>
      <c r="D779" s="16"/>
      <c r="H779" s="15"/>
      <c r="L779" s="15"/>
      <c r="P779" s="15"/>
      <c r="Q779" s="15"/>
      <c r="R779" s="15"/>
      <c r="S779" s="15"/>
    </row>
    <row r="780" spans="1:19" x14ac:dyDescent="0.25">
      <c r="A780" s="15"/>
      <c r="B780" s="15"/>
      <c r="C780" s="15"/>
      <c r="D780" s="16"/>
      <c r="H780" s="15"/>
      <c r="L780" s="15"/>
      <c r="P780" s="15"/>
      <c r="Q780" s="15"/>
      <c r="R780" s="15"/>
      <c r="S780" s="15"/>
    </row>
    <row r="781" spans="1:19" x14ac:dyDescent="0.25">
      <c r="A781" s="15"/>
      <c r="B781" s="15"/>
      <c r="C781" s="15"/>
      <c r="D781" s="16"/>
      <c r="H781" s="15"/>
      <c r="L781" s="15"/>
      <c r="P781" s="15"/>
      <c r="Q781" s="15"/>
      <c r="R781" s="15"/>
      <c r="S781" s="15"/>
    </row>
    <row r="782" spans="1:19" x14ac:dyDescent="0.25">
      <c r="A782" s="15"/>
      <c r="B782" s="15"/>
      <c r="C782" s="15"/>
      <c r="D782" s="16"/>
      <c r="H782" s="15"/>
      <c r="L782" s="15"/>
      <c r="P782" s="15"/>
      <c r="Q782" s="15"/>
      <c r="R782" s="15"/>
      <c r="S782" s="15"/>
    </row>
    <row r="783" spans="1:19" x14ac:dyDescent="0.25">
      <c r="A783" s="15"/>
      <c r="B783" s="15"/>
      <c r="C783" s="15"/>
      <c r="D783" s="16"/>
      <c r="H783" s="15"/>
      <c r="L783" s="15"/>
      <c r="P783" s="15"/>
      <c r="Q783" s="15"/>
      <c r="R783" s="15"/>
      <c r="S783" s="15"/>
    </row>
    <row r="784" spans="1:19" x14ac:dyDescent="0.25">
      <c r="A784" s="15"/>
      <c r="B784" s="15"/>
      <c r="C784" s="15"/>
      <c r="D784" s="16"/>
      <c r="H784" s="15"/>
      <c r="L784" s="15"/>
      <c r="P784" s="15"/>
      <c r="Q784" s="15"/>
      <c r="R784" s="15"/>
      <c r="S784" s="15"/>
    </row>
    <row r="785" spans="1:19" x14ac:dyDescent="0.25">
      <c r="A785" s="15"/>
      <c r="B785" s="15"/>
      <c r="C785" s="15"/>
      <c r="D785" s="16"/>
      <c r="H785" s="15"/>
      <c r="L785" s="15"/>
      <c r="P785" s="15"/>
      <c r="Q785" s="15"/>
      <c r="R785" s="15"/>
      <c r="S785" s="15"/>
    </row>
    <row r="786" spans="1:19" x14ac:dyDescent="0.25">
      <c r="A786" s="15"/>
      <c r="B786" s="15"/>
      <c r="C786" s="15"/>
      <c r="D786" s="16"/>
      <c r="H786" s="15"/>
      <c r="L786" s="15"/>
      <c r="P786" s="15"/>
      <c r="Q786" s="15"/>
      <c r="R786" s="15"/>
      <c r="S786" s="15"/>
    </row>
    <row r="787" spans="1:19" x14ac:dyDescent="0.25">
      <c r="A787" s="15"/>
      <c r="B787" s="15"/>
      <c r="C787" s="15"/>
      <c r="D787" s="16"/>
      <c r="H787" s="15"/>
      <c r="L787" s="15"/>
      <c r="P787" s="15"/>
      <c r="Q787" s="15"/>
      <c r="R787" s="15"/>
      <c r="S787" s="15"/>
    </row>
    <row r="788" spans="1:19" x14ac:dyDescent="0.25">
      <c r="A788" s="15"/>
      <c r="B788" s="15"/>
      <c r="C788" s="15"/>
      <c r="D788" s="16"/>
      <c r="H788" s="15"/>
      <c r="L788" s="15"/>
      <c r="P788" s="15"/>
      <c r="Q788" s="15"/>
      <c r="R788" s="15"/>
      <c r="S788" s="15"/>
    </row>
    <row r="789" spans="1:19" x14ac:dyDescent="0.25">
      <c r="A789" s="15"/>
      <c r="B789" s="15"/>
      <c r="C789" s="15"/>
      <c r="D789" s="16"/>
      <c r="H789" s="15"/>
      <c r="L789" s="15"/>
      <c r="P789" s="15"/>
      <c r="Q789" s="15"/>
      <c r="R789" s="15"/>
      <c r="S789" s="15"/>
    </row>
    <row r="790" spans="1:19" x14ac:dyDescent="0.25">
      <c r="A790" s="15"/>
      <c r="B790" s="15"/>
      <c r="C790" s="15"/>
      <c r="D790" s="16"/>
      <c r="H790" s="15"/>
      <c r="L790" s="15"/>
      <c r="P790" s="15"/>
      <c r="Q790" s="15"/>
      <c r="R790" s="15"/>
      <c r="S790" s="15"/>
    </row>
    <row r="791" spans="1:19" x14ac:dyDescent="0.25">
      <c r="A791" s="15"/>
      <c r="B791" s="15"/>
      <c r="C791" s="15"/>
      <c r="D791" s="16"/>
      <c r="H791" s="15"/>
      <c r="L791" s="15"/>
      <c r="P791" s="15"/>
      <c r="Q791" s="15"/>
      <c r="R791" s="15"/>
      <c r="S791" s="15"/>
    </row>
    <row r="792" spans="1:19" x14ac:dyDescent="0.25">
      <c r="A792" s="15"/>
      <c r="B792" s="15"/>
      <c r="C792" s="15"/>
      <c r="D792" s="16"/>
      <c r="H792" s="15"/>
      <c r="L792" s="15"/>
      <c r="P792" s="15"/>
      <c r="Q792" s="15"/>
      <c r="R792" s="15"/>
      <c r="S792" s="15"/>
    </row>
    <row r="793" spans="1:19" x14ac:dyDescent="0.25">
      <c r="A793" s="15"/>
      <c r="B793" s="15"/>
      <c r="C793" s="15"/>
      <c r="D793" s="16"/>
      <c r="H793" s="15"/>
      <c r="L793" s="15"/>
      <c r="P793" s="15"/>
      <c r="Q793" s="15"/>
      <c r="R793" s="15"/>
      <c r="S793" s="15"/>
    </row>
    <row r="794" spans="1:19" x14ac:dyDescent="0.25">
      <c r="A794" s="15"/>
      <c r="B794" s="15"/>
      <c r="C794" s="15"/>
      <c r="D794" s="16"/>
      <c r="H794" s="15"/>
      <c r="L794" s="15"/>
      <c r="P794" s="15"/>
      <c r="Q794" s="15"/>
      <c r="R794" s="15"/>
      <c r="S794" s="15"/>
    </row>
    <row r="795" spans="1:19" x14ac:dyDescent="0.25">
      <c r="A795" s="15"/>
      <c r="B795" s="15"/>
      <c r="C795" s="15"/>
      <c r="D795" s="16"/>
      <c r="H795" s="15"/>
      <c r="L795" s="15"/>
      <c r="P795" s="15"/>
      <c r="Q795" s="15"/>
      <c r="R795" s="15"/>
      <c r="S795" s="15"/>
    </row>
    <row r="796" spans="1:19" x14ac:dyDescent="0.25">
      <c r="A796" s="15"/>
      <c r="B796" s="15"/>
      <c r="C796" s="15"/>
      <c r="D796" s="16"/>
      <c r="H796" s="15"/>
      <c r="L796" s="15"/>
      <c r="P796" s="15"/>
      <c r="Q796" s="15"/>
      <c r="R796" s="15"/>
      <c r="S796" s="15"/>
    </row>
    <row r="797" spans="1:19" x14ac:dyDescent="0.25">
      <c r="A797" s="15"/>
      <c r="B797" s="15"/>
      <c r="C797" s="15"/>
      <c r="D797" s="16"/>
      <c r="H797" s="15"/>
      <c r="L797" s="15"/>
      <c r="P797" s="15"/>
      <c r="Q797" s="15"/>
      <c r="R797" s="15"/>
      <c r="S797" s="15"/>
    </row>
    <row r="798" spans="1:19" x14ac:dyDescent="0.25">
      <c r="A798" s="15"/>
      <c r="B798" s="15"/>
      <c r="C798" s="15"/>
      <c r="D798" s="16"/>
      <c r="H798" s="15"/>
      <c r="L798" s="15"/>
      <c r="P798" s="15"/>
      <c r="Q798" s="15"/>
      <c r="R798" s="15"/>
      <c r="S798" s="15"/>
    </row>
    <row r="799" spans="1:19" x14ac:dyDescent="0.25">
      <c r="A799" s="15"/>
      <c r="B799" s="15"/>
      <c r="C799" s="15"/>
      <c r="D799" s="16"/>
      <c r="H799" s="15"/>
      <c r="L799" s="15"/>
      <c r="P799" s="15"/>
      <c r="Q799" s="15"/>
      <c r="R799" s="15"/>
      <c r="S799" s="15"/>
    </row>
    <row r="800" spans="1:19" x14ac:dyDescent="0.25">
      <c r="A800" s="15"/>
      <c r="B800" s="15"/>
      <c r="C800" s="15"/>
      <c r="D800" s="16"/>
      <c r="H800" s="15"/>
      <c r="L800" s="15"/>
      <c r="P800" s="15"/>
      <c r="Q800" s="15"/>
      <c r="R800" s="15"/>
      <c r="S800" s="15"/>
    </row>
    <row r="801" spans="1:19" x14ac:dyDescent="0.25">
      <c r="A801" s="15"/>
      <c r="B801" s="15"/>
      <c r="C801" s="15"/>
      <c r="D801" s="16"/>
      <c r="H801" s="15"/>
      <c r="L801" s="15"/>
      <c r="P801" s="15"/>
      <c r="Q801" s="15"/>
      <c r="R801" s="15"/>
      <c r="S801" s="15"/>
    </row>
    <row r="802" spans="1:19" x14ac:dyDescent="0.25">
      <c r="A802" s="15"/>
      <c r="B802" s="15"/>
      <c r="C802" s="15"/>
      <c r="D802" s="16"/>
      <c r="H802" s="15"/>
      <c r="L802" s="15"/>
      <c r="P802" s="15"/>
      <c r="Q802" s="15"/>
      <c r="R802" s="15"/>
      <c r="S802" s="15"/>
    </row>
    <row r="803" spans="1:19" x14ac:dyDescent="0.25">
      <c r="A803" s="15"/>
      <c r="B803" s="15"/>
      <c r="C803" s="15"/>
      <c r="D803" s="16"/>
      <c r="H803" s="15"/>
      <c r="L803" s="15"/>
      <c r="P803" s="15"/>
      <c r="Q803" s="15"/>
      <c r="R803" s="15"/>
      <c r="S803" s="15"/>
    </row>
    <row r="804" spans="1:19" x14ac:dyDescent="0.25">
      <c r="A804" s="15"/>
      <c r="B804" s="15"/>
      <c r="C804" s="15"/>
      <c r="D804" s="16"/>
      <c r="H804" s="15"/>
      <c r="L804" s="15"/>
      <c r="P804" s="15"/>
      <c r="Q804" s="15"/>
      <c r="R804" s="15"/>
      <c r="S804" s="15"/>
    </row>
    <row r="805" spans="1:19" x14ac:dyDescent="0.25">
      <c r="A805" s="15"/>
      <c r="B805" s="15"/>
      <c r="C805" s="15"/>
      <c r="D805" s="16"/>
      <c r="H805" s="15"/>
      <c r="L805" s="15"/>
      <c r="P805" s="15"/>
      <c r="Q805" s="15"/>
      <c r="R805" s="15"/>
      <c r="S805" s="15"/>
    </row>
    <row r="806" spans="1:19" x14ac:dyDescent="0.25">
      <c r="A806" s="15"/>
      <c r="B806" s="15"/>
      <c r="C806" s="15"/>
      <c r="D806" s="16"/>
      <c r="H806" s="15"/>
      <c r="L806" s="15"/>
      <c r="P806" s="15"/>
      <c r="Q806" s="15"/>
      <c r="R806" s="15"/>
      <c r="S806" s="15"/>
    </row>
    <row r="807" spans="1:19" x14ac:dyDescent="0.25">
      <c r="A807" s="15"/>
      <c r="B807" s="15"/>
      <c r="C807" s="15"/>
      <c r="D807" s="16"/>
      <c r="H807" s="15"/>
      <c r="L807" s="15"/>
      <c r="P807" s="15"/>
      <c r="Q807" s="15"/>
      <c r="R807" s="15"/>
      <c r="S807" s="15"/>
    </row>
    <row r="808" spans="1:19" x14ac:dyDescent="0.25">
      <c r="A808" s="15"/>
      <c r="B808" s="15"/>
      <c r="C808" s="15"/>
      <c r="D808" s="16"/>
      <c r="H808" s="15"/>
      <c r="L808" s="15"/>
      <c r="P808" s="15"/>
      <c r="Q808" s="15"/>
      <c r="R808" s="15"/>
      <c r="S808" s="15"/>
    </row>
    <row r="809" spans="1:19" x14ac:dyDescent="0.25">
      <c r="A809" s="15"/>
      <c r="B809" s="15"/>
      <c r="C809" s="15"/>
      <c r="D809" s="16"/>
      <c r="H809" s="15"/>
      <c r="L809" s="15"/>
      <c r="P809" s="15"/>
      <c r="Q809" s="15"/>
      <c r="R809" s="15"/>
      <c r="S809" s="15"/>
    </row>
    <row r="810" spans="1:19" x14ac:dyDescent="0.25">
      <c r="A810" s="15"/>
      <c r="B810" s="15"/>
      <c r="C810" s="15"/>
      <c r="D810" s="16"/>
      <c r="H810" s="15"/>
      <c r="L810" s="15"/>
      <c r="P810" s="15"/>
      <c r="Q810" s="15"/>
      <c r="R810" s="15"/>
      <c r="S810" s="15"/>
    </row>
    <row r="811" spans="1:19" x14ac:dyDescent="0.25">
      <c r="A811" s="15"/>
      <c r="B811" s="15"/>
      <c r="C811" s="15"/>
      <c r="D811" s="16"/>
      <c r="H811" s="15"/>
      <c r="L811" s="15"/>
      <c r="P811" s="15"/>
      <c r="Q811" s="15"/>
      <c r="R811" s="15"/>
      <c r="S811" s="15"/>
    </row>
    <row r="812" spans="1:19" x14ac:dyDescent="0.25">
      <c r="A812" s="15"/>
      <c r="B812" s="15"/>
      <c r="C812" s="15"/>
      <c r="D812" s="16"/>
      <c r="H812" s="15"/>
      <c r="L812" s="15"/>
      <c r="P812" s="15"/>
      <c r="Q812" s="15"/>
      <c r="R812" s="15"/>
      <c r="S812" s="15"/>
    </row>
    <row r="813" spans="1:19" x14ac:dyDescent="0.25">
      <c r="A813" s="15"/>
      <c r="B813" s="15"/>
      <c r="C813" s="15"/>
      <c r="D813" s="16"/>
      <c r="H813" s="15"/>
      <c r="L813" s="15"/>
      <c r="P813" s="15"/>
      <c r="Q813" s="15"/>
      <c r="R813" s="15"/>
      <c r="S813" s="15"/>
    </row>
    <row r="814" spans="1:19" x14ac:dyDescent="0.25">
      <c r="A814" s="15"/>
      <c r="B814" s="15"/>
      <c r="C814" s="15"/>
      <c r="D814" s="16"/>
      <c r="H814" s="15"/>
      <c r="L814" s="15"/>
      <c r="P814" s="15"/>
      <c r="Q814" s="15"/>
      <c r="R814" s="15"/>
      <c r="S814" s="15"/>
    </row>
    <row r="815" spans="1:19" x14ac:dyDescent="0.25">
      <c r="A815" s="15"/>
      <c r="B815" s="15"/>
      <c r="C815" s="15"/>
      <c r="D815" s="16"/>
      <c r="H815" s="15"/>
      <c r="L815" s="15"/>
      <c r="P815" s="15"/>
      <c r="Q815" s="15"/>
      <c r="R815" s="15"/>
      <c r="S815" s="15"/>
    </row>
    <row r="816" spans="1:19" x14ac:dyDescent="0.25">
      <c r="A816" s="15"/>
      <c r="B816" s="15"/>
      <c r="C816" s="15"/>
      <c r="D816" s="16"/>
      <c r="H816" s="15"/>
      <c r="L816" s="15"/>
      <c r="P816" s="15"/>
      <c r="Q816" s="15"/>
      <c r="R816" s="15"/>
      <c r="S816" s="15"/>
    </row>
    <row r="817" spans="1:19" x14ac:dyDescent="0.25">
      <c r="A817" s="15"/>
      <c r="B817" s="15"/>
      <c r="C817" s="15"/>
      <c r="D817" s="16"/>
      <c r="H817" s="15"/>
      <c r="L817" s="15"/>
      <c r="P817" s="15"/>
      <c r="Q817" s="15"/>
      <c r="R817" s="15"/>
      <c r="S817" s="15"/>
    </row>
    <row r="818" spans="1:19" x14ac:dyDescent="0.25">
      <c r="A818" s="15"/>
      <c r="B818" s="15"/>
      <c r="C818" s="15"/>
      <c r="D818" s="16"/>
      <c r="H818" s="15"/>
      <c r="L818" s="15"/>
      <c r="P818" s="15"/>
      <c r="Q818" s="15"/>
      <c r="R818" s="15"/>
      <c r="S818" s="15"/>
    </row>
    <row r="819" spans="1:19" x14ac:dyDescent="0.25">
      <c r="A819" s="15"/>
      <c r="B819" s="15"/>
      <c r="C819" s="15"/>
      <c r="D819" s="16"/>
      <c r="H819" s="15"/>
      <c r="L819" s="15"/>
      <c r="P819" s="15"/>
      <c r="Q819" s="15"/>
      <c r="R819" s="15"/>
      <c r="S819" s="15"/>
    </row>
    <row r="820" spans="1:19" x14ac:dyDescent="0.25">
      <c r="A820" s="15"/>
      <c r="B820" s="15"/>
      <c r="C820" s="15"/>
      <c r="D820" s="16"/>
      <c r="H820" s="15"/>
      <c r="L820" s="15"/>
      <c r="P820" s="15"/>
      <c r="Q820" s="15"/>
      <c r="R820" s="15"/>
      <c r="S820" s="15"/>
    </row>
    <row r="821" spans="1:19" x14ac:dyDescent="0.25">
      <c r="A821" s="15"/>
      <c r="B821" s="15"/>
      <c r="C821" s="15"/>
      <c r="D821" s="16"/>
      <c r="H821" s="15"/>
      <c r="L821" s="15"/>
      <c r="P821" s="15"/>
      <c r="Q821" s="15"/>
      <c r="R821" s="15"/>
      <c r="S821" s="15"/>
    </row>
    <row r="822" spans="1:19" x14ac:dyDescent="0.25">
      <c r="A822" s="15"/>
      <c r="B822" s="15"/>
      <c r="C822" s="15"/>
      <c r="D822" s="16"/>
      <c r="H822" s="15"/>
      <c r="L822" s="15"/>
      <c r="P822" s="15"/>
      <c r="Q822" s="15"/>
      <c r="R822" s="15"/>
      <c r="S822" s="15"/>
    </row>
    <row r="823" spans="1:19" x14ac:dyDescent="0.25">
      <c r="A823" s="15"/>
      <c r="B823" s="15"/>
      <c r="C823" s="15"/>
      <c r="D823" s="16"/>
      <c r="H823" s="15"/>
      <c r="L823" s="15"/>
      <c r="P823" s="15"/>
      <c r="Q823" s="15"/>
      <c r="R823" s="15"/>
      <c r="S823" s="15"/>
    </row>
    <row r="824" spans="1:19" x14ac:dyDescent="0.25">
      <c r="A824" s="15"/>
      <c r="B824" s="15"/>
      <c r="C824" s="15"/>
      <c r="D824" s="16"/>
      <c r="H824" s="15"/>
      <c r="L824" s="15"/>
      <c r="P824" s="15"/>
      <c r="Q824" s="15"/>
      <c r="R824" s="15"/>
      <c r="S824" s="15"/>
    </row>
    <row r="825" spans="1:19" x14ac:dyDescent="0.25">
      <c r="A825" s="15"/>
      <c r="B825" s="15"/>
      <c r="C825" s="15"/>
      <c r="D825" s="16"/>
      <c r="H825" s="15"/>
      <c r="L825" s="15"/>
      <c r="P825" s="15"/>
      <c r="Q825" s="15"/>
      <c r="R825" s="15"/>
      <c r="S825" s="15"/>
    </row>
    <row r="826" spans="1:19" x14ac:dyDescent="0.25">
      <c r="A826" s="15"/>
      <c r="B826" s="15"/>
      <c r="C826" s="15"/>
      <c r="D826" s="16"/>
      <c r="H826" s="15"/>
      <c r="L826" s="15"/>
      <c r="P826" s="15"/>
      <c r="Q826" s="15"/>
      <c r="R826" s="15"/>
      <c r="S826" s="15"/>
    </row>
    <row r="827" spans="1:19" x14ac:dyDescent="0.25">
      <c r="A827" s="15"/>
      <c r="B827" s="15"/>
      <c r="C827" s="15"/>
      <c r="D827" s="16"/>
      <c r="H827" s="15"/>
      <c r="L827" s="15"/>
      <c r="P827" s="15"/>
      <c r="Q827" s="15"/>
      <c r="R827" s="15"/>
      <c r="S827" s="15"/>
    </row>
    <row r="828" spans="1:19" x14ac:dyDescent="0.25">
      <c r="A828" s="15"/>
      <c r="B828" s="15"/>
      <c r="C828" s="15"/>
      <c r="D828" s="16"/>
      <c r="H828" s="15"/>
      <c r="L828" s="15"/>
      <c r="P828" s="15"/>
      <c r="Q828" s="15"/>
      <c r="R828" s="15"/>
      <c r="S828" s="15"/>
    </row>
    <row r="829" spans="1:19" x14ac:dyDescent="0.25">
      <c r="A829" s="15"/>
      <c r="B829" s="15"/>
      <c r="C829" s="15"/>
      <c r="D829" s="16"/>
      <c r="H829" s="15"/>
      <c r="L829" s="15"/>
      <c r="P829" s="15"/>
      <c r="Q829" s="15"/>
      <c r="R829" s="15"/>
      <c r="S829" s="15"/>
    </row>
    <row r="830" spans="1:19" x14ac:dyDescent="0.25">
      <c r="A830" s="15"/>
      <c r="B830" s="15"/>
      <c r="C830" s="15"/>
      <c r="D830" s="16"/>
      <c r="H830" s="15"/>
      <c r="L830" s="15"/>
      <c r="P830" s="15"/>
      <c r="Q830" s="15"/>
      <c r="R830" s="15"/>
      <c r="S830" s="15"/>
    </row>
    <row r="831" spans="1:19" x14ac:dyDescent="0.25">
      <c r="A831" s="15"/>
      <c r="B831" s="15"/>
      <c r="C831" s="15"/>
      <c r="D831" s="16"/>
      <c r="H831" s="15"/>
      <c r="L831" s="15"/>
      <c r="P831" s="15"/>
      <c r="Q831" s="15"/>
      <c r="R831" s="15"/>
      <c r="S831" s="15"/>
    </row>
    <row r="832" spans="1:19" x14ac:dyDescent="0.25">
      <c r="A832" s="15"/>
      <c r="B832" s="15"/>
      <c r="C832" s="15"/>
      <c r="D832" s="16"/>
      <c r="H832" s="15"/>
      <c r="L832" s="15"/>
      <c r="P832" s="15"/>
      <c r="Q832" s="15"/>
      <c r="R832" s="15"/>
      <c r="S832" s="15"/>
    </row>
    <row r="833" spans="1:19" x14ac:dyDescent="0.25">
      <c r="A833" s="15"/>
      <c r="B833" s="15"/>
      <c r="C833" s="15"/>
      <c r="D833" s="16"/>
      <c r="H833" s="15"/>
      <c r="L833" s="15"/>
      <c r="P833" s="15"/>
      <c r="Q833" s="15"/>
      <c r="R833" s="15"/>
      <c r="S833" s="15"/>
    </row>
    <row r="834" spans="1:19" x14ac:dyDescent="0.25">
      <c r="A834" s="15"/>
      <c r="B834" s="15"/>
      <c r="C834" s="15"/>
      <c r="D834" s="16"/>
      <c r="H834" s="15"/>
      <c r="L834" s="15"/>
      <c r="P834" s="15"/>
      <c r="Q834" s="15"/>
      <c r="R834" s="15"/>
      <c r="S834" s="15"/>
    </row>
    <row r="835" spans="1:19" x14ac:dyDescent="0.25">
      <c r="A835" s="15"/>
      <c r="B835" s="15"/>
      <c r="C835" s="15"/>
      <c r="D835" s="16"/>
      <c r="H835" s="15"/>
      <c r="L835" s="15"/>
      <c r="P835" s="15"/>
      <c r="Q835" s="15"/>
      <c r="R835" s="15"/>
      <c r="S835" s="15"/>
    </row>
    <row r="836" spans="1:19" x14ac:dyDescent="0.25">
      <c r="A836" s="15"/>
      <c r="B836" s="15"/>
      <c r="C836" s="15"/>
      <c r="D836" s="16"/>
      <c r="H836" s="15"/>
      <c r="L836" s="15"/>
      <c r="P836" s="15"/>
      <c r="Q836" s="15"/>
      <c r="R836" s="15"/>
      <c r="S836" s="15"/>
    </row>
    <row r="837" spans="1:19" x14ac:dyDescent="0.25">
      <c r="A837" s="15"/>
      <c r="B837" s="15"/>
      <c r="C837" s="15"/>
      <c r="D837" s="16"/>
      <c r="H837" s="15"/>
      <c r="L837" s="15"/>
      <c r="P837" s="15"/>
      <c r="Q837" s="15"/>
      <c r="R837" s="15"/>
      <c r="S837" s="15"/>
    </row>
    <row r="838" spans="1:19" x14ac:dyDescent="0.25">
      <c r="A838" s="15"/>
      <c r="B838" s="15"/>
      <c r="C838" s="15"/>
      <c r="D838" s="16"/>
      <c r="H838" s="15"/>
      <c r="L838" s="15"/>
      <c r="P838" s="15"/>
      <c r="Q838" s="15"/>
      <c r="R838" s="15"/>
      <c r="S838" s="15"/>
    </row>
    <row r="839" spans="1:19" x14ac:dyDescent="0.25">
      <c r="A839" s="15"/>
      <c r="B839" s="15"/>
      <c r="C839" s="15"/>
      <c r="D839" s="16"/>
      <c r="H839" s="15"/>
      <c r="L839" s="15"/>
      <c r="P839" s="15"/>
      <c r="Q839" s="15"/>
      <c r="R839" s="15"/>
      <c r="S839" s="15"/>
    </row>
    <row r="840" spans="1:19" x14ac:dyDescent="0.25">
      <c r="A840" s="15"/>
      <c r="B840" s="15"/>
      <c r="C840" s="15"/>
      <c r="D840" s="16"/>
      <c r="H840" s="15"/>
      <c r="L840" s="15"/>
      <c r="P840" s="15"/>
      <c r="Q840" s="15"/>
      <c r="R840" s="15"/>
      <c r="S840" s="15"/>
    </row>
    <row r="841" spans="1:19" x14ac:dyDescent="0.25">
      <c r="A841" s="15"/>
      <c r="B841" s="15"/>
      <c r="C841" s="15"/>
      <c r="D841" s="16"/>
      <c r="H841" s="15"/>
      <c r="L841" s="15"/>
      <c r="P841" s="15"/>
      <c r="Q841" s="15"/>
      <c r="R841" s="15"/>
      <c r="S841" s="15"/>
    </row>
    <row r="842" spans="1:19" x14ac:dyDescent="0.25">
      <c r="A842" s="15"/>
      <c r="B842" s="15"/>
      <c r="C842" s="15"/>
      <c r="D842" s="16"/>
      <c r="H842" s="15"/>
      <c r="L842" s="15"/>
      <c r="P842" s="15"/>
      <c r="Q842" s="15"/>
      <c r="R842" s="15"/>
      <c r="S842" s="15"/>
    </row>
    <row r="843" spans="1:19" x14ac:dyDescent="0.25">
      <c r="A843" s="15"/>
      <c r="B843" s="15"/>
      <c r="C843" s="15"/>
      <c r="D843" s="16"/>
      <c r="H843" s="15"/>
      <c r="L843" s="15"/>
      <c r="P843" s="15"/>
      <c r="Q843" s="15"/>
      <c r="R843" s="15"/>
      <c r="S843" s="15"/>
    </row>
    <row r="844" spans="1:19" x14ac:dyDescent="0.25">
      <c r="A844" s="15"/>
      <c r="B844" s="15"/>
      <c r="C844" s="15"/>
      <c r="D844" s="16"/>
      <c r="H844" s="15"/>
      <c r="L844" s="15"/>
      <c r="P844" s="15"/>
      <c r="Q844" s="15"/>
      <c r="R844" s="15"/>
      <c r="S844" s="15"/>
    </row>
    <row r="845" spans="1:19" x14ac:dyDescent="0.25">
      <c r="A845" s="15"/>
      <c r="B845" s="15"/>
      <c r="C845" s="15"/>
      <c r="D845" s="16"/>
      <c r="H845" s="15"/>
      <c r="L845" s="15"/>
      <c r="P845" s="15"/>
      <c r="Q845" s="15"/>
      <c r="R845" s="15"/>
      <c r="S845" s="15"/>
    </row>
    <row r="846" spans="1:19" x14ac:dyDescent="0.25">
      <c r="A846" s="15"/>
      <c r="B846" s="15"/>
      <c r="C846" s="15"/>
      <c r="D846" s="16"/>
      <c r="H846" s="15"/>
      <c r="L846" s="15"/>
      <c r="P846" s="15"/>
      <c r="Q846" s="15"/>
      <c r="R846" s="15"/>
      <c r="S846" s="15"/>
    </row>
    <row r="847" spans="1:19" x14ac:dyDescent="0.25">
      <c r="A847" s="15"/>
      <c r="B847" s="15"/>
      <c r="C847" s="15"/>
      <c r="D847" s="16"/>
      <c r="H847" s="15"/>
      <c r="L847" s="15"/>
      <c r="P847" s="15"/>
      <c r="Q847" s="15"/>
      <c r="R847" s="15"/>
      <c r="S847" s="15"/>
    </row>
    <row r="848" spans="1:19" x14ac:dyDescent="0.25">
      <c r="A848" s="15"/>
      <c r="B848" s="15"/>
      <c r="C848" s="15"/>
      <c r="D848" s="16"/>
      <c r="H848" s="15"/>
      <c r="L848" s="15"/>
      <c r="P848" s="15"/>
      <c r="Q848" s="15"/>
      <c r="R848" s="15"/>
      <c r="S848" s="15"/>
    </row>
    <row r="849" spans="1:19" x14ac:dyDescent="0.25">
      <c r="A849" s="15"/>
      <c r="B849" s="15"/>
      <c r="C849" s="15"/>
      <c r="D849" s="16"/>
      <c r="H849" s="15"/>
      <c r="L849" s="15"/>
      <c r="P849" s="15"/>
      <c r="Q849" s="15"/>
      <c r="R849" s="15"/>
      <c r="S849" s="15"/>
    </row>
    <row r="850" spans="1:19" x14ac:dyDescent="0.25">
      <c r="A850" s="15"/>
      <c r="B850" s="15"/>
      <c r="C850" s="15"/>
      <c r="D850" s="16"/>
      <c r="H850" s="15"/>
      <c r="L850" s="15"/>
      <c r="P850" s="15"/>
      <c r="Q850" s="15"/>
      <c r="R850" s="15"/>
      <c r="S850" s="15"/>
    </row>
    <row r="851" spans="1:19" x14ac:dyDescent="0.25">
      <c r="A851" s="15"/>
      <c r="B851" s="15"/>
      <c r="C851" s="15"/>
      <c r="D851" s="16"/>
      <c r="H851" s="15"/>
      <c r="L851" s="15"/>
      <c r="P851" s="15"/>
      <c r="Q851" s="15"/>
      <c r="R851" s="15"/>
      <c r="S851" s="15"/>
    </row>
    <row r="852" spans="1:19" x14ac:dyDescent="0.25">
      <c r="A852" s="15"/>
      <c r="B852" s="15"/>
      <c r="C852" s="15"/>
      <c r="D852" s="16"/>
      <c r="H852" s="15"/>
      <c r="L852" s="15"/>
      <c r="P852" s="15"/>
      <c r="Q852" s="15"/>
      <c r="R852" s="15"/>
      <c r="S852" s="15"/>
    </row>
    <row r="853" spans="1:19" x14ac:dyDescent="0.25">
      <c r="A853" s="15"/>
      <c r="B853" s="15"/>
      <c r="C853" s="15"/>
      <c r="D853" s="16"/>
      <c r="H853" s="15"/>
      <c r="L853" s="15"/>
      <c r="P853" s="15"/>
      <c r="Q853" s="15"/>
      <c r="R853" s="15"/>
      <c r="S853" s="15"/>
    </row>
    <row r="854" spans="1:19" x14ac:dyDescent="0.25">
      <c r="A854" s="15"/>
      <c r="B854" s="15"/>
      <c r="C854" s="15"/>
      <c r="D854" s="16"/>
      <c r="H854" s="15"/>
      <c r="L854" s="15"/>
      <c r="P854" s="15"/>
      <c r="Q854" s="15"/>
      <c r="R854" s="15"/>
      <c r="S854" s="15"/>
    </row>
    <row r="855" spans="1:19" x14ac:dyDescent="0.25">
      <c r="A855" s="15"/>
      <c r="B855" s="15"/>
      <c r="C855" s="15"/>
      <c r="D855" s="16"/>
      <c r="H855" s="15"/>
      <c r="L855" s="15"/>
      <c r="P855" s="15"/>
      <c r="Q855" s="15"/>
      <c r="R855" s="15"/>
      <c r="S855" s="15"/>
    </row>
    <row r="856" spans="1:19" x14ac:dyDescent="0.25">
      <c r="A856" s="15"/>
      <c r="B856" s="15"/>
      <c r="C856" s="15"/>
      <c r="D856" s="16"/>
      <c r="H856" s="15"/>
      <c r="L856" s="15"/>
      <c r="P856" s="15"/>
      <c r="Q856" s="15"/>
      <c r="R856" s="15"/>
      <c r="S856" s="15"/>
    </row>
    <row r="857" spans="1:19" x14ac:dyDescent="0.25">
      <c r="A857" s="15"/>
      <c r="B857" s="15"/>
      <c r="C857" s="15"/>
      <c r="D857" s="16"/>
      <c r="H857" s="15"/>
      <c r="L857" s="15"/>
      <c r="P857" s="15"/>
      <c r="Q857" s="15"/>
      <c r="R857" s="15"/>
      <c r="S857" s="15"/>
    </row>
    <row r="858" spans="1:19" x14ac:dyDescent="0.25">
      <c r="A858" s="15"/>
      <c r="B858" s="15"/>
      <c r="C858" s="15"/>
      <c r="D858" s="16"/>
      <c r="H858" s="15"/>
      <c r="L858" s="15"/>
      <c r="P858" s="15"/>
      <c r="Q858" s="15"/>
      <c r="R858" s="15"/>
      <c r="S858" s="15"/>
    </row>
    <row r="859" spans="1:19" x14ac:dyDescent="0.25">
      <c r="A859" s="15"/>
      <c r="B859" s="15"/>
      <c r="C859" s="15"/>
      <c r="D859" s="16"/>
      <c r="H859" s="15"/>
      <c r="L859" s="15"/>
      <c r="P859" s="15"/>
      <c r="Q859" s="15"/>
      <c r="R859" s="15"/>
      <c r="S859" s="15"/>
    </row>
    <row r="860" spans="1:19" x14ac:dyDescent="0.25">
      <c r="A860" s="15"/>
      <c r="B860" s="15"/>
      <c r="C860" s="15"/>
      <c r="D860" s="16"/>
      <c r="H860" s="15"/>
      <c r="L860" s="15"/>
      <c r="P860" s="15"/>
      <c r="Q860" s="15"/>
      <c r="R860" s="15"/>
      <c r="S860" s="15"/>
    </row>
    <row r="861" spans="1:19" x14ac:dyDescent="0.25">
      <c r="A861" s="15"/>
      <c r="B861" s="15"/>
      <c r="C861" s="15"/>
      <c r="D861" s="16"/>
      <c r="H861" s="15"/>
      <c r="L861" s="15"/>
      <c r="P861" s="15"/>
      <c r="Q861" s="15"/>
      <c r="R861" s="15"/>
      <c r="S861" s="15"/>
    </row>
    <row r="862" spans="1:19" x14ac:dyDescent="0.25">
      <c r="A862" s="15"/>
      <c r="B862" s="15"/>
      <c r="C862" s="15"/>
      <c r="D862" s="16"/>
      <c r="H862" s="15"/>
      <c r="L862" s="15"/>
      <c r="P862" s="15"/>
      <c r="Q862" s="15"/>
      <c r="R862" s="15"/>
      <c r="S862" s="15"/>
    </row>
    <row r="863" spans="1:19" x14ac:dyDescent="0.25">
      <c r="A863" s="15"/>
      <c r="B863" s="15"/>
      <c r="C863" s="15"/>
      <c r="D863" s="16"/>
      <c r="H863" s="15"/>
      <c r="L863" s="15"/>
      <c r="P863" s="15"/>
      <c r="Q863" s="15"/>
      <c r="R863" s="15"/>
      <c r="S863" s="15"/>
    </row>
    <row r="864" spans="1:19" x14ac:dyDescent="0.25">
      <c r="A864" s="15"/>
      <c r="B864" s="15"/>
      <c r="C864" s="15"/>
      <c r="D864" s="16"/>
      <c r="H864" s="15"/>
      <c r="L864" s="15"/>
      <c r="P864" s="15"/>
      <c r="Q864" s="15"/>
      <c r="R864" s="15"/>
      <c r="S864" s="15"/>
    </row>
    <row r="865" spans="1:19" x14ac:dyDescent="0.25">
      <c r="A865" s="15"/>
      <c r="B865" s="15"/>
      <c r="C865" s="15"/>
      <c r="D865" s="16"/>
      <c r="H865" s="15"/>
      <c r="L865" s="15"/>
      <c r="P865" s="15"/>
      <c r="Q865" s="15"/>
      <c r="R865" s="15"/>
      <c r="S865" s="15"/>
    </row>
    <row r="866" spans="1:19" x14ac:dyDescent="0.25">
      <c r="A866" s="15"/>
      <c r="B866" s="15"/>
      <c r="C866" s="15"/>
      <c r="D866" s="16"/>
      <c r="H866" s="15"/>
      <c r="L866" s="15"/>
      <c r="P866" s="15"/>
      <c r="Q866" s="15"/>
      <c r="R866" s="15"/>
      <c r="S866" s="15"/>
    </row>
    <row r="867" spans="1:19" x14ac:dyDescent="0.25">
      <c r="A867" s="15"/>
      <c r="B867" s="15"/>
      <c r="C867" s="15"/>
      <c r="D867" s="16"/>
      <c r="H867" s="15"/>
      <c r="L867" s="15"/>
      <c r="P867" s="15"/>
      <c r="Q867" s="15"/>
      <c r="R867" s="15"/>
      <c r="S867" s="15"/>
    </row>
    <row r="868" spans="1:19" x14ac:dyDescent="0.25">
      <c r="A868" s="15"/>
      <c r="B868" s="15"/>
      <c r="C868" s="15"/>
      <c r="D868" s="16"/>
      <c r="H868" s="15"/>
      <c r="L868" s="15"/>
      <c r="P868" s="15"/>
      <c r="Q868" s="15"/>
      <c r="R868" s="15"/>
      <c r="S868" s="15"/>
    </row>
    <row r="869" spans="1:19" x14ac:dyDescent="0.25">
      <c r="A869" s="15"/>
      <c r="B869" s="15"/>
      <c r="C869" s="15"/>
      <c r="D869" s="16"/>
      <c r="H869" s="15"/>
      <c r="L869" s="15"/>
      <c r="P869" s="15"/>
      <c r="Q869" s="15"/>
      <c r="R869" s="15"/>
      <c r="S869" s="15"/>
    </row>
    <row r="870" spans="1:19" x14ac:dyDescent="0.25">
      <c r="A870" s="15"/>
      <c r="B870" s="15"/>
      <c r="C870" s="15"/>
      <c r="D870" s="16"/>
      <c r="H870" s="15"/>
      <c r="L870" s="15"/>
      <c r="P870" s="15"/>
      <c r="Q870" s="15"/>
      <c r="R870" s="15"/>
      <c r="S870" s="15"/>
    </row>
    <row r="871" spans="1:19" x14ac:dyDescent="0.25">
      <c r="A871" s="15"/>
      <c r="B871" s="15"/>
      <c r="C871" s="15"/>
      <c r="D871" s="16"/>
      <c r="H871" s="15"/>
      <c r="L871" s="15"/>
      <c r="P871" s="15"/>
      <c r="Q871" s="15"/>
      <c r="R871" s="15"/>
      <c r="S871" s="15"/>
    </row>
    <row r="872" spans="1:19" x14ac:dyDescent="0.25">
      <c r="A872" s="15"/>
      <c r="B872" s="15"/>
      <c r="C872" s="15"/>
      <c r="D872" s="16"/>
      <c r="H872" s="15"/>
      <c r="L872" s="15"/>
      <c r="P872" s="15"/>
      <c r="Q872" s="15"/>
      <c r="R872" s="15"/>
      <c r="S872" s="15"/>
    </row>
    <row r="873" spans="1:19" x14ac:dyDescent="0.25">
      <c r="A873" s="15"/>
      <c r="B873" s="15"/>
      <c r="C873" s="15"/>
      <c r="D873" s="16"/>
      <c r="H873" s="15"/>
      <c r="L873" s="15"/>
      <c r="P873" s="15"/>
      <c r="Q873" s="15"/>
      <c r="R873" s="15"/>
      <c r="S873" s="15"/>
    </row>
    <row r="874" spans="1:19" x14ac:dyDescent="0.25">
      <c r="A874" s="15"/>
      <c r="B874" s="15"/>
      <c r="C874" s="15"/>
      <c r="D874" s="16"/>
      <c r="H874" s="15"/>
      <c r="L874" s="15"/>
      <c r="P874" s="15"/>
      <c r="Q874" s="15"/>
      <c r="R874" s="15"/>
      <c r="S874" s="15"/>
    </row>
    <row r="875" spans="1:19" x14ac:dyDescent="0.25">
      <c r="A875" s="15"/>
      <c r="B875" s="15"/>
      <c r="C875" s="15"/>
      <c r="D875" s="16"/>
      <c r="H875" s="15"/>
      <c r="L875" s="15"/>
      <c r="P875" s="15"/>
      <c r="Q875" s="15"/>
      <c r="R875" s="15"/>
      <c r="S875" s="15"/>
    </row>
    <row r="876" spans="1:19" x14ac:dyDescent="0.25">
      <c r="A876" s="15"/>
      <c r="B876" s="15"/>
      <c r="C876" s="15"/>
      <c r="D876" s="16"/>
      <c r="H876" s="15"/>
      <c r="L876" s="15"/>
      <c r="P876" s="15"/>
      <c r="Q876" s="15"/>
      <c r="R876" s="15"/>
      <c r="S876" s="15"/>
    </row>
    <row r="877" spans="1:19" x14ac:dyDescent="0.25">
      <c r="A877" s="15"/>
      <c r="B877" s="15"/>
      <c r="C877" s="15"/>
      <c r="D877" s="16"/>
      <c r="H877" s="15"/>
      <c r="L877" s="15"/>
      <c r="P877" s="15"/>
      <c r="Q877" s="15"/>
      <c r="R877" s="15"/>
      <c r="S877" s="15"/>
    </row>
    <row r="878" spans="1:19" x14ac:dyDescent="0.25">
      <c r="A878" s="15"/>
      <c r="B878" s="15"/>
      <c r="C878" s="15"/>
      <c r="D878" s="16"/>
      <c r="H878" s="15"/>
      <c r="L878" s="15"/>
      <c r="P878" s="15"/>
      <c r="Q878" s="15"/>
      <c r="R878" s="15"/>
      <c r="S878" s="15"/>
    </row>
    <row r="879" spans="1:19" x14ac:dyDescent="0.25">
      <c r="A879" s="15"/>
      <c r="B879" s="15"/>
      <c r="C879" s="15"/>
      <c r="D879" s="16"/>
      <c r="H879" s="15"/>
      <c r="L879" s="15"/>
      <c r="P879" s="15"/>
      <c r="Q879" s="15"/>
      <c r="R879" s="15"/>
      <c r="S879" s="15"/>
    </row>
    <row r="880" spans="1:19" x14ac:dyDescent="0.25">
      <c r="A880" s="15"/>
      <c r="B880" s="15"/>
      <c r="C880" s="15"/>
      <c r="D880" s="16"/>
      <c r="H880" s="15"/>
      <c r="L880" s="15"/>
      <c r="P880" s="15"/>
      <c r="Q880" s="15"/>
      <c r="R880" s="15"/>
      <c r="S880" s="15"/>
    </row>
    <row r="881" spans="1:19" x14ac:dyDescent="0.25">
      <c r="A881" s="15"/>
      <c r="B881" s="15"/>
      <c r="C881" s="15"/>
      <c r="D881" s="16"/>
      <c r="H881" s="15"/>
      <c r="L881" s="15"/>
      <c r="P881" s="15"/>
      <c r="Q881" s="15"/>
      <c r="R881" s="15"/>
      <c r="S881" s="15"/>
    </row>
    <row r="882" spans="1:19" x14ac:dyDescent="0.25">
      <c r="A882" s="15"/>
      <c r="B882" s="15"/>
      <c r="C882" s="15"/>
      <c r="D882" s="16"/>
      <c r="H882" s="15"/>
      <c r="L882" s="15"/>
      <c r="P882" s="15"/>
      <c r="Q882" s="15"/>
      <c r="R882" s="15"/>
      <c r="S882" s="15"/>
    </row>
    <row r="883" spans="1:19" x14ac:dyDescent="0.25">
      <c r="A883" s="15"/>
      <c r="B883" s="15"/>
      <c r="C883" s="15"/>
      <c r="D883" s="16"/>
      <c r="H883" s="15"/>
      <c r="L883" s="15"/>
      <c r="P883" s="15"/>
      <c r="Q883" s="15"/>
      <c r="R883" s="15"/>
      <c r="S883" s="15"/>
    </row>
    <row r="884" spans="1:19" x14ac:dyDescent="0.25">
      <c r="A884" s="15"/>
      <c r="B884" s="15"/>
      <c r="C884" s="15"/>
      <c r="D884" s="16"/>
      <c r="H884" s="15"/>
      <c r="L884" s="15"/>
      <c r="P884" s="15"/>
      <c r="Q884" s="15"/>
      <c r="R884" s="15"/>
      <c r="S884" s="15"/>
    </row>
    <row r="885" spans="1:19" x14ac:dyDescent="0.25">
      <c r="A885" s="15"/>
      <c r="B885" s="15"/>
      <c r="C885" s="15"/>
      <c r="D885" s="16"/>
      <c r="H885" s="15"/>
      <c r="L885" s="15"/>
      <c r="P885" s="15"/>
      <c r="Q885" s="15"/>
      <c r="R885" s="15"/>
      <c r="S885" s="15"/>
    </row>
    <row r="886" spans="1:19" x14ac:dyDescent="0.25">
      <c r="A886" s="15"/>
      <c r="B886" s="15"/>
      <c r="C886" s="15"/>
      <c r="D886" s="16"/>
      <c r="H886" s="15"/>
      <c r="L886" s="15"/>
      <c r="P886" s="15"/>
      <c r="Q886" s="15"/>
      <c r="R886" s="15"/>
      <c r="S886" s="15"/>
    </row>
    <row r="887" spans="1:19" x14ac:dyDescent="0.25">
      <c r="A887" s="15"/>
      <c r="B887" s="15"/>
      <c r="C887" s="15"/>
      <c r="D887" s="16"/>
      <c r="H887" s="15"/>
      <c r="L887" s="15"/>
      <c r="P887" s="15"/>
      <c r="Q887" s="15"/>
      <c r="R887" s="15"/>
      <c r="S887" s="15"/>
    </row>
    <row r="888" spans="1:19" x14ac:dyDescent="0.25">
      <c r="A888" s="15"/>
      <c r="B888" s="15"/>
      <c r="C888" s="15"/>
      <c r="D888" s="16"/>
      <c r="H888" s="15"/>
      <c r="L888" s="15"/>
      <c r="P888" s="15"/>
      <c r="Q888" s="15"/>
      <c r="R888" s="15"/>
      <c r="S888" s="15"/>
    </row>
    <row r="889" spans="1:19" x14ac:dyDescent="0.25">
      <c r="A889" s="15"/>
      <c r="B889" s="15"/>
      <c r="C889" s="15"/>
      <c r="D889" s="16"/>
      <c r="H889" s="15"/>
      <c r="L889" s="15"/>
      <c r="P889" s="15"/>
      <c r="Q889" s="15"/>
      <c r="R889" s="15"/>
      <c r="S889" s="15"/>
    </row>
    <row r="890" spans="1:19" x14ac:dyDescent="0.25">
      <c r="A890" s="15"/>
      <c r="B890" s="15"/>
      <c r="C890" s="15"/>
      <c r="D890" s="16"/>
      <c r="H890" s="15"/>
      <c r="L890" s="15"/>
      <c r="P890" s="15"/>
      <c r="Q890" s="15"/>
      <c r="R890" s="15"/>
      <c r="S890" s="15"/>
    </row>
    <row r="891" spans="1:19" x14ac:dyDescent="0.25">
      <c r="A891" s="15"/>
      <c r="B891" s="15"/>
      <c r="C891" s="15"/>
      <c r="D891" s="16"/>
      <c r="H891" s="15"/>
      <c r="L891" s="15"/>
      <c r="P891" s="15"/>
      <c r="Q891" s="15"/>
      <c r="R891" s="15"/>
      <c r="S891" s="15"/>
    </row>
    <row r="892" spans="1:19" x14ac:dyDescent="0.25">
      <c r="A892" s="15"/>
      <c r="B892" s="15"/>
      <c r="C892" s="15"/>
      <c r="D892" s="16"/>
      <c r="H892" s="15"/>
      <c r="L892" s="15"/>
      <c r="P892" s="15"/>
      <c r="Q892" s="15"/>
      <c r="R892" s="15"/>
      <c r="S892" s="15"/>
    </row>
    <row r="893" spans="1:19" x14ac:dyDescent="0.25">
      <c r="A893" s="15"/>
      <c r="B893" s="15"/>
      <c r="C893" s="15"/>
      <c r="D893" s="16"/>
      <c r="H893" s="15"/>
      <c r="L893" s="15"/>
      <c r="P893" s="15"/>
      <c r="Q893" s="15"/>
      <c r="R893" s="15"/>
      <c r="S893" s="15"/>
    </row>
    <row r="894" spans="1:19" x14ac:dyDescent="0.25">
      <c r="A894" s="15"/>
      <c r="B894" s="15"/>
      <c r="C894" s="15"/>
      <c r="D894" s="16"/>
      <c r="H894" s="15"/>
      <c r="L894" s="15"/>
      <c r="P894" s="15"/>
      <c r="Q894" s="15"/>
      <c r="R894" s="15"/>
      <c r="S894" s="15"/>
    </row>
    <row r="895" spans="1:19" x14ac:dyDescent="0.25">
      <c r="A895" s="15"/>
      <c r="B895" s="15"/>
      <c r="C895" s="15"/>
      <c r="D895" s="16"/>
      <c r="H895" s="15"/>
      <c r="L895" s="15"/>
      <c r="P895" s="15"/>
      <c r="Q895" s="15"/>
      <c r="R895" s="15"/>
      <c r="S895" s="15"/>
    </row>
    <row r="896" spans="1:19" x14ac:dyDescent="0.25">
      <c r="A896" s="15"/>
      <c r="B896" s="15"/>
      <c r="C896" s="15"/>
      <c r="D896" s="16"/>
      <c r="H896" s="15"/>
      <c r="L896" s="15"/>
      <c r="P896" s="15"/>
      <c r="Q896" s="15"/>
      <c r="R896" s="15"/>
      <c r="S896" s="15"/>
    </row>
    <row r="897" spans="1:19" x14ac:dyDescent="0.25">
      <c r="A897" s="15"/>
      <c r="B897" s="15"/>
      <c r="C897" s="15"/>
      <c r="D897" s="16"/>
      <c r="H897" s="15"/>
      <c r="L897" s="15"/>
      <c r="P897" s="15"/>
      <c r="Q897" s="15"/>
      <c r="R897" s="15"/>
      <c r="S897" s="15"/>
    </row>
    <row r="898" spans="1:19" x14ac:dyDescent="0.25">
      <c r="A898" s="15"/>
      <c r="B898" s="15"/>
      <c r="C898" s="15"/>
      <c r="D898" s="16"/>
      <c r="H898" s="15"/>
      <c r="L898" s="15"/>
      <c r="P898" s="15"/>
      <c r="Q898" s="15"/>
      <c r="R898" s="15"/>
      <c r="S898" s="15"/>
    </row>
    <row r="899" spans="1:19" x14ac:dyDescent="0.25">
      <c r="A899" s="15"/>
      <c r="B899" s="15"/>
      <c r="C899" s="15"/>
      <c r="D899" s="16"/>
      <c r="H899" s="15"/>
      <c r="L899" s="15"/>
      <c r="P899" s="15"/>
      <c r="Q899" s="15"/>
      <c r="R899" s="15"/>
      <c r="S899" s="15"/>
    </row>
    <row r="900" spans="1:19" x14ac:dyDescent="0.25">
      <c r="A900" s="15"/>
      <c r="B900" s="15"/>
      <c r="C900" s="15"/>
      <c r="D900" s="16"/>
      <c r="H900" s="15"/>
      <c r="L900" s="15"/>
      <c r="P900" s="15"/>
      <c r="Q900" s="15"/>
      <c r="R900" s="15"/>
      <c r="S900" s="15"/>
    </row>
    <row r="901" spans="1:19" x14ac:dyDescent="0.25">
      <c r="A901" s="15"/>
      <c r="B901" s="15"/>
      <c r="C901" s="15"/>
      <c r="D901" s="16"/>
      <c r="H901" s="15"/>
      <c r="L901" s="15"/>
      <c r="P901" s="15"/>
      <c r="Q901" s="15"/>
      <c r="R901" s="15"/>
      <c r="S901" s="15"/>
    </row>
    <row r="902" spans="1:19" x14ac:dyDescent="0.25">
      <c r="A902" s="15"/>
      <c r="B902" s="15"/>
      <c r="C902" s="15"/>
      <c r="D902" s="16"/>
      <c r="H902" s="15"/>
      <c r="L902" s="15"/>
      <c r="P902" s="15"/>
      <c r="Q902" s="15"/>
      <c r="R902" s="15"/>
      <c r="S902" s="15"/>
    </row>
    <row r="903" spans="1:19" x14ac:dyDescent="0.25">
      <c r="A903" s="15"/>
      <c r="B903" s="15"/>
      <c r="C903" s="15"/>
      <c r="D903" s="16"/>
      <c r="H903" s="15"/>
      <c r="L903" s="15"/>
      <c r="P903" s="15"/>
      <c r="Q903" s="15"/>
      <c r="R903" s="15"/>
      <c r="S903" s="15"/>
    </row>
    <row r="904" spans="1:19" x14ac:dyDescent="0.25">
      <c r="A904" s="15"/>
      <c r="B904" s="15"/>
      <c r="C904" s="15"/>
      <c r="D904" s="16"/>
      <c r="H904" s="15"/>
      <c r="L904" s="15"/>
      <c r="P904" s="15"/>
      <c r="Q904" s="15"/>
      <c r="R904" s="15"/>
      <c r="S904" s="15"/>
    </row>
    <row r="905" spans="1:19" x14ac:dyDescent="0.25">
      <c r="A905" s="15"/>
      <c r="B905" s="15"/>
      <c r="C905" s="15"/>
      <c r="D905" s="16"/>
      <c r="H905" s="15"/>
      <c r="L905" s="15"/>
      <c r="P905" s="15"/>
      <c r="Q905" s="15"/>
      <c r="R905" s="15"/>
      <c r="S905" s="15"/>
    </row>
    <row r="906" spans="1:19" x14ac:dyDescent="0.25">
      <c r="A906" s="15"/>
      <c r="B906" s="15"/>
      <c r="C906" s="15"/>
      <c r="D906" s="16"/>
      <c r="H906" s="15"/>
      <c r="L906" s="15"/>
      <c r="P906" s="15"/>
      <c r="Q906" s="15"/>
      <c r="R906" s="15"/>
      <c r="S906" s="15"/>
    </row>
    <row r="907" spans="1:19" x14ac:dyDescent="0.25">
      <c r="A907" s="15"/>
      <c r="B907" s="15"/>
      <c r="C907" s="15"/>
      <c r="D907" s="16"/>
      <c r="H907" s="15"/>
      <c r="L907" s="15"/>
      <c r="P907" s="15"/>
      <c r="Q907" s="15"/>
      <c r="R907" s="15"/>
      <c r="S907" s="15"/>
    </row>
    <row r="908" spans="1:19" x14ac:dyDescent="0.25">
      <c r="A908" s="15"/>
      <c r="B908" s="15"/>
      <c r="C908" s="15"/>
      <c r="D908" s="16"/>
      <c r="H908" s="15"/>
      <c r="L908" s="15"/>
      <c r="P908" s="15"/>
      <c r="Q908" s="15"/>
      <c r="R908" s="15"/>
      <c r="S908" s="15"/>
    </row>
    <row r="909" spans="1:19" x14ac:dyDescent="0.25">
      <c r="A909" s="15"/>
      <c r="B909" s="15"/>
      <c r="C909" s="15"/>
      <c r="D909" s="16"/>
      <c r="H909" s="15"/>
      <c r="L909" s="15"/>
      <c r="P909" s="15"/>
      <c r="Q909" s="15"/>
      <c r="R909" s="15"/>
      <c r="S909" s="15"/>
    </row>
    <row r="910" spans="1:19" x14ac:dyDescent="0.25">
      <c r="A910" s="15"/>
      <c r="B910" s="15"/>
      <c r="C910" s="15"/>
      <c r="D910" s="16"/>
      <c r="H910" s="15"/>
      <c r="L910" s="15"/>
      <c r="P910" s="15"/>
      <c r="Q910" s="15"/>
      <c r="R910" s="15"/>
      <c r="S910" s="15"/>
    </row>
    <row r="911" spans="1:19" x14ac:dyDescent="0.25">
      <c r="A911" s="15"/>
      <c r="B911" s="15"/>
      <c r="C911" s="15"/>
      <c r="D911" s="16"/>
      <c r="H911" s="15"/>
      <c r="L911" s="15"/>
      <c r="P911" s="15"/>
      <c r="Q911" s="15"/>
      <c r="R911" s="15"/>
      <c r="S911" s="15"/>
    </row>
    <row r="912" spans="1:19" x14ac:dyDescent="0.25">
      <c r="A912" s="15"/>
      <c r="B912" s="15"/>
      <c r="C912" s="15"/>
      <c r="D912" s="16"/>
      <c r="H912" s="15"/>
      <c r="L912" s="15"/>
      <c r="P912" s="15"/>
      <c r="Q912" s="15"/>
      <c r="R912" s="15"/>
      <c r="S912" s="15"/>
    </row>
    <row r="913" spans="1:19" x14ac:dyDescent="0.25">
      <c r="A913" s="15"/>
      <c r="B913" s="15"/>
      <c r="C913" s="15"/>
      <c r="D913" s="16"/>
      <c r="H913" s="15"/>
      <c r="L913" s="15"/>
      <c r="P913" s="15"/>
      <c r="Q913" s="15"/>
      <c r="R913" s="15"/>
      <c r="S913" s="15"/>
    </row>
    <row r="914" spans="1:19" x14ac:dyDescent="0.25">
      <c r="A914" s="15"/>
      <c r="B914" s="15"/>
      <c r="C914" s="15"/>
      <c r="D914" s="16"/>
      <c r="H914" s="15"/>
      <c r="L914" s="15"/>
      <c r="P914" s="15"/>
      <c r="Q914" s="15"/>
      <c r="R914" s="15"/>
      <c r="S914" s="15"/>
    </row>
    <row r="915" spans="1:19" x14ac:dyDescent="0.25">
      <c r="A915" s="15"/>
      <c r="B915" s="15"/>
      <c r="C915" s="15"/>
      <c r="D915" s="16"/>
      <c r="H915" s="15"/>
      <c r="L915" s="15"/>
      <c r="P915" s="15"/>
      <c r="Q915" s="15"/>
      <c r="R915" s="15"/>
      <c r="S915" s="15"/>
    </row>
    <row r="916" spans="1:19" x14ac:dyDescent="0.25">
      <c r="A916" s="15"/>
      <c r="B916" s="15"/>
      <c r="C916" s="15"/>
      <c r="D916" s="16"/>
      <c r="H916" s="15"/>
      <c r="L916" s="15"/>
      <c r="P916" s="15"/>
      <c r="Q916" s="15"/>
      <c r="R916" s="15"/>
      <c r="S916" s="15"/>
    </row>
    <row r="917" spans="1:19" x14ac:dyDescent="0.25">
      <c r="A917" s="15"/>
      <c r="B917" s="15"/>
      <c r="C917" s="15"/>
      <c r="D917" s="16"/>
      <c r="H917" s="15"/>
      <c r="L917" s="15"/>
      <c r="P917" s="15"/>
      <c r="Q917" s="15"/>
      <c r="R917" s="15"/>
      <c r="S917" s="15"/>
    </row>
    <row r="918" spans="1:19" x14ac:dyDescent="0.25">
      <c r="A918" s="15"/>
      <c r="B918" s="15"/>
      <c r="C918" s="15"/>
      <c r="D918" s="16"/>
      <c r="H918" s="15"/>
      <c r="L918" s="15"/>
      <c r="P918" s="15"/>
      <c r="Q918" s="15"/>
      <c r="R918" s="15"/>
      <c r="S918" s="15"/>
    </row>
    <row r="919" spans="1:19" x14ac:dyDescent="0.25">
      <c r="A919" s="15"/>
      <c r="B919" s="15"/>
      <c r="C919" s="15"/>
      <c r="D919" s="16"/>
      <c r="H919" s="15"/>
      <c r="L919" s="15"/>
      <c r="P919" s="15"/>
      <c r="Q919" s="15"/>
      <c r="R919" s="15"/>
      <c r="S919" s="15"/>
    </row>
    <row r="920" spans="1:19" x14ac:dyDescent="0.25">
      <c r="A920" s="15"/>
      <c r="B920" s="15"/>
      <c r="C920" s="15"/>
      <c r="D920" s="16"/>
      <c r="H920" s="15"/>
      <c r="L920" s="15"/>
      <c r="P920" s="15"/>
      <c r="Q920" s="15"/>
      <c r="R920" s="15"/>
      <c r="S920" s="15"/>
    </row>
    <row r="921" spans="1:19" x14ac:dyDescent="0.25">
      <c r="A921" s="15"/>
      <c r="B921" s="15"/>
      <c r="C921" s="15"/>
      <c r="D921" s="16"/>
      <c r="H921" s="15"/>
      <c r="L921" s="15"/>
      <c r="P921" s="15"/>
      <c r="Q921" s="15"/>
      <c r="R921" s="15"/>
      <c r="S921" s="15"/>
    </row>
    <row r="922" spans="1:19" x14ac:dyDescent="0.25">
      <c r="A922" s="15"/>
      <c r="B922" s="15"/>
      <c r="C922" s="15"/>
      <c r="D922" s="16"/>
      <c r="H922" s="15"/>
      <c r="L922" s="15"/>
      <c r="P922" s="15"/>
      <c r="Q922" s="15"/>
      <c r="R922" s="15"/>
      <c r="S922" s="15"/>
    </row>
    <row r="923" spans="1:19" x14ac:dyDescent="0.25">
      <c r="A923" s="15"/>
      <c r="B923" s="15"/>
      <c r="C923" s="15"/>
      <c r="D923" s="16"/>
      <c r="H923" s="15"/>
      <c r="L923" s="15"/>
      <c r="P923" s="15"/>
      <c r="Q923" s="15"/>
      <c r="R923" s="15"/>
      <c r="S923" s="15"/>
    </row>
    <row r="924" spans="1:19" x14ac:dyDescent="0.25">
      <c r="A924" s="15"/>
      <c r="B924" s="15"/>
      <c r="C924" s="15"/>
      <c r="D924" s="16"/>
      <c r="H924" s="15"/>
      <c r="L924" s="15"/>
      <c r="P924" s="15"/>
      <c r="Q924" s="15"/>
      <c r="R924" s="15"/>
      <c r="S924" s="15"/>
    </row>
    <row r="925" spans="1:19" x14ac:dyDescent="0.25">
      <c r="A925" s="15"/>
      <c r="B925" s="15"/>
      <c r="C925" s="15"/>
      <c r="D925" s="16"/>
      <c r="H925" s="15"/>
      <c r="L925" s="15"/>
      <c r="P925" s="15"/>
      <c r="Q925" s="15"/>
      <c r="R925" s="15"/>
      <c r="S925" s="15"/>
    </row>
    <row r="926" spans="1:19" x14ac:dyDescent="0.25">
      <c r="A926" s="15"/>
      <c r="B926" s="15"/>
      <c r="C926" s="15"/>
      <c r="D926" s="16"/>
      <c r="H926" s="15"/>
      <c r="L926" s="15"/>
      <c r="P926" s="15"/>
      <c r="Q926" s="15"/>
      <c r="R926" s="15"/>
      <c r="S926" s="15"/>
    </row>
    <row r="927" spans="1:19" x14ac:dyDescent="0.25">
      <c r="A927" s="15"/>
      <c r="B927" s="15"/>
      <c r="C927" s="15"/>
      <c r="D927" s="16"/>
      <c r="H927" s="15"/>
      <c r="L927" s="15"/>
      <c r="P927" s="15"/>
      <c r="Q927" s="15"/>
      <c r="R927" s="15"/>
      <c r="S927" s="15"/>
    </row>
    <row r="928" spans="1:19" x14ac:dyDescent="0.25">
      <c r="A928" s="15"/>
      <c r="B928" s="15"/>
      <c r="C928" s="15"/>
      <c r="D928" s="16"/>
      <c r="H928" s="15"/>
      <c r="L928" s="15"/>
      <c r="P928" s="15"/>
      <c r="Q928" s="15"/>
      <c r="R928" s="15"/>
      <c r="S928" s="15"/>
    </row>
    <row r="929" spans="1:19" x14ac:dyDescent="0.25">
      <c r="A929" s="15"/>
      <c r="B929" s="15"/>
      <c r="C929" s="15"/>
      <c r="D929" s="16"/>
      <c r="H929" s="15"/>
      <c r="L929" s="15"/>
      <c r="P929" s="15"/>
      <c r="Q929" s="15"/>
      <c r="R929" s="15"/>
      <c r="S929" s="15"/>
    </row>
    <row r="930" spans="1:19" x14ac:dyDescent="0.25">
      <c r="A930" s="15"/>
      <c r="B930" s="15"/>
      <c r="C930" s="15"/>
      <c r="D930" s="16"/>
      <c r="H930" s="15"/>
      <c r="L930" s="15"/>
      <c r="P930" s="15"/>
      <c r="Q930" s="15"/>
      <c r="R930" s="15"/>
      <c r="S930" s="15"/>
    </row>
    <row r="931" spans="1:19" x14ac:dyDescent="0.25">
      <c r="A931" s="15"/>
      <c r="B931" s="15"/>
      <c r="C931" s="15"/>
      <c r="D931" s="16"/>
      <c r="H931" s="15"/>
      <c r="L931" s="15"/>
      <c r="P931" s="15"/>
      <c r="Q931" s="15"/>
      <c r="R931" s="15"/>
      <c r="S931" s="15"/>
    </row>
    <row r="932" spans="1:19" x14ac:dyDescent="0.25">
      <c r="A932" s="15"/>
      <c r="B932" s="15"/>
      <c r="C932" s="15"/>
      <c r="D932" s="16"/>
      <c r="H932" s="15"/>
      <c r="L932" s="15"/>
      <c r="P932" s="15"/>
      <c r="Q932" s="15"/>
      <c r="R932" s="15"/>
      <c r="S932" s="15"/>
    </row>
    <row r="933" spans="1:19" x14ac:dyDescent="0.25">
      <c r="A933" s="15"/>
      <c r="B933" s="15"/>
      <c r="C933" s="15"/>
      <c r="D933" s="16"/>
      <c r="H933" s="15"/>
      <c r="L933" s="15"/>
      <c r="P933" s="15"/>
      <c r="Q933" s="15"/>
      <c r="R933" s="15"/>
      <c r="S933" s="15"/>
    </row>
    <row r="934" spans="1:19" x14ac:dyDescent="0.25">
      <c r="A934" s="15"/>
      <c r="B934" s="15"/>
      <c r="C934" s="15"/>
      <c r="D934" s="16"/>
      <c r="H934" s="15"/>
      <c r="L934" s="15"/>
      <c r="P934" s="15"/>
      <c r="Q934" s="15"/>
      <c r="R934" s="15"/>
      <c r="S934" s="15"/>
    </row>
    <row r="935" spans="1:19" x14ac:dyDescent="0.25">
      <c r="A935" s="15"/>
      <c r="B935" s="15"/>
      <c r="C935" s="15"/>
      <c r="D935" s="16"/>
      <c r="H935" s="15"/>
      <c r="L935" s="15"/>
      <c r="P935" s="15"/>
      <c r="Q935" s="15"/>
      <c r="R935" s="15"/>
      <c r="S935" s="15"/>
    </row>
    <row r="936" spans="1:19" x14ac:dyDescent="0.25">
      <c r="A936" s="15"/>
      <c r="B936" s="15"/>
      <c r="C936" s="15"/>
      <c r="D936" s="16"/>
      <c r="H936" s="15"/>
      <c r="L936" s="15"/>
      <c r="P936" s="15"/>
      <c r="Q936" s="15"/>
      <c r="R936" s="15"/>
      <c r="S936" s="15"/>
    </row>
    <row r="937" spans="1:19" x14ac:dyDescent="0.25">
      <c r="A937" s="15"/>
      <c r="B937" s="15"/>
      <c r="C937" s="15"/>
      <c r="D937" s="16"/>
      <c r="H937" s="15"/>
      <c r="L937" s="15"/>
      <c r="P937" s="15"/>
      <c r="Q937" s="15"/>
      <c r="R937" s="15"/>
      <c r="S937" s="15"/>
    </row>
    <row r="938" spans="1:19" x14ac:dyDescent="0.25">
      <c r="A938" s="15"/>
      <c r="B938" s="15"/>
      <c r="C938" s="15"/>
      <c r="D938" s="16"/>
      <c r="H938" s="15"/>
      <c r="L938" s="15"/>
      <c r="P938" s="15"/>
      <c r="Q938" s="15"/>
      <c r="R938" s="15"/>
      <c r="S938" s="15"/>
    </row>
    <row r="939" spans="1:19" x14ac:dyDescent="0.25">
      <c r="A939" s="15"/>
      <c r="B939" s="15"/>
      <c r="C939" s="15"/>
      <c r="D939" s="16"/>
      <c r="H939" s="15"/>
      <c r="L939" s="15"/>
      <c r="P939" s="15"/>
      <c r="Q939" s="15"/>
      <c r="R939" s="15"/>
      <c r="S939" s="15"/>
    </row>
    <row r="940" spans="1:19" x14ac:dyDescent="0.25">
      <c r="A940" s="15"/>
      <c r="B940" s="15"/>
      <c r="C940" s="15"/>
      <c r="D940" s="16"/>
      <c r="H940" s="15"/>
      <c r="L940" s="15"/>
      <c r="P940" s="15"/>
      <c r="Q940" s="15"/>
      <c r="R940" s="15"/>
      <c r="S940" s="15"/>
    </row>
    <row r="941" spans="1:19" x14ac:dyDescent="0.25">
      <c r="A941" s="15"/>
      <c r="B941" s="15"/>
      <c r="C941" s="15"/>
      <c r="D941" s="16"/>
      <c r="H941" s="15"/>
      <c r="L941" s="15"/>
      <c r="P941" s="15"/>
      <c r="Q941" s="15"/>
      <c r="R941" s="15"/>
      <c r="S941" s="15"/>
    </row>
    <row r="942" spans="1:19" x14ac:dyDescent="0.25">
      <c r="A942" s="15"/>
      <c r="B942" s="15"/>
      <c r="C942" s="15"/>
      <c r="D942" s="16"/>
      <c r="H942" s="15"/>
      <c r="L942" s="15"/>
      <c r="P942" s="15"/>
      <c r="Q942" s="15"/>
      <c r="R942" s="15"/>
      <c r="S942" s="15"/>
    </row>
    <row r="943" spans="1:19" x14ac:dyDescent="0.25">
      <c r="A943" s="15"/>
      <c r="B943" s="15"/>
      <c r="C943" s="15"/>
      <c r="D943" s="16"/>
      <c r="H943" s="15"/>
      <c r="L943" s="15"/>
      <c r="P943" s="15"/>
      <c r="Q943" s="15"/>
      <c r="R943" s="15"/>
      <c r="S943" s="15"/>
    </row>
    <row r="944" spans="1:19" x14ac:dyDescent="0.25">
      <c r="A944" s="15"/>
      <c r="B944" s="15"/>
      <c r="C944" s="15"/>
      <c r="D944" s="16"/>
      <c r="H944" s="15"/>
      <c r="L944" s="15"/>
      <c r="P944" s="15"/>
      <c r="Q944" s="15"/>
      <c r="R944" s="15"/>
      <c r="S944" s="15"/>
    </row>
    <row r="945" spans="1:19" x14ac:dyDescent="0.25">
      <c r="A945" s="15"/>
      <c r="B945" s="15"/>
      <c r="C945" s="15"/>
      <c r="D945" s="16"/>
      <c r="H945" s="15"/>
      <c r="L945" s="15"/>
      <c r="P945" s="15"/>
      <c r="Q945" s="15"/>
      <c r="R945" s="15"/>
      <c r="S945" s="15"/>
    </row>
    <row r="946" spans="1:19" x14ac:dyDescent="0.25">
      <c r="A946" s="15"/>
      <c r="B946" s="15"/>
      <c r="C946" s="15"/>
      <c r="D946" s="16"/>
      <c r="H946" s="15"/>
      <c r="L946" s="15"/>
      <c r="P946" s="15"/>
      <c r="Q946" s="15"/>
      <c r="R946" s="15"/>
      <c r="S946" s="15"/>
    </row>
    <row r="947" spans="1:19" x14ac:dyDescent="0.25">
      <c r="A947" s="15"/>
      <c r="B947" s="15"/>
      <c r="C947" s="15"/>
      <c r="D947" s="16"/>
      <c r="H947" s="15"/>
      <c r="L947" s="15"/>
      <c r="P947" s="15"/>
      <c r="Q947" s="15"/>
      <c r="R947" s="15"/>
      <c r="S947" s="15"/>
    </row>
    <row r="948" spans="1:19" x14ac:dyDescent="0.25">
      <c r="A948" s="15"/>
      <c r="B948" s="15"/>
      <c r="C948" s="15"/>
      <c r="D948" s="16"/>
      <c r="H948" s="15"/>
      <c r="L948" s="15"/>
      <c r="P948" s="15"/>
      <c r="Q948" s="15"/>
      <c r="R948" s="15"/>
      <c r="S948" s="15"/>
    </row>
    <row r="949" spans="1:19" x14ac:dyDescent="0.25">
      <c r="A949" s="15"/>
      <c r="B949" s="15"/>
      <c r="C949" s="15"/>
      <c r="D949" s="16"/>
      <c r="H949" s="15"/>
      <c r="L949" s="15"/>
      <c r="P949" s="15"/>
      <c r="Q949" s="15"/>
      <c r="R949" s="15"/>
      <c r="S949" s="15"/>
    </row>
    <row r="950" spans="1:19" x14ac:dyDescent="0.25">
      <c r="A950" s="15"/>
      <c r="B950" s="15"/>
      <c r="C950" s="15"/>
      <c r="D950" s="16"/>
      <c r="H950" s="15"/>
      <c r="L950" s="15"/>
      <c r="P950" s="15"/>
      <c r="Q950" s="15"/>
      <c r="R950" s="15"/>
      <c r="S950" s="15"/>
    </row>
    <row r="951" spans="1:19" x14ac:dyDescent="0.25">
      <c r="A951" s="15"/>
      <c r="B951" s="15"/>
      <c r="C951" s="15"/>
      <c r="D951" s="16"/>
      <c r="H951" s="15"/>
      <c r="L951" s="15"/>
      <c r="P951" s="15"/>
      <c r="Q951" s="15"/>
      <c r="R951" s="15"/>
      <c r="S951" s="15"/>
    </row>
    <row r="952" spans="1:19" x14ac:dyDescent="0.25">
      <c r="A952" s="15"/>
      <c r="B952" s="15"/>
      <c r="C952" s="15"/>
      <c r="D952" s="16"/>
      <c r="H952" s="15"/>
      <c r="L952" s="15"/>
      <c r="P952" s="15"/>
      <c r="Q952" s="15"/>
      <c r="R952" s="15"/>
      <c r="S952" s="15"/>
    </row>
    <row r="953" spans="1:19" x14ac:dyDescent="0.25">
      <c r="A953" s="15"/>
      <c r="B953" s="15"/>
      <c r="C953" s="15"/>
      <c r="D953" s="16"/>
      <c r="H953" s="15"/>
      <c r="L953" s="15"/>
      <c r="P953" s="15"/>
      <c r="Q953" s="15"/>
      <c r="R953" s="15"/>
      <c r="S953" s="15"/>
    </row>
    <row r="954" spans="1:19" x14ac:dyDescent="0.25">
      <c r="A954" s="15"/>
      <c r="B954" s="15"/>
      <c r="C954" s="15"/>
      <c r="D954" s="16"/>
      <c r="H954" s="15"/>
      <c r="L954" s="15"/>
      <c r="P954" s="15"/>
      <c r="Q954" s="15"/>
      <c r="R954" s="15"/>
      <c r="S954" s="15"/>
    </row>
    <row r="955" spans="1:19" x14ac:dyDescent="0.25">
      <c r="A955" s="15"/>
      <c r="B955" s="15"/>
      <c r="C955" s="15"/>
      <c r="D955" s="16"/>
      <c r="H955" s="15"/>
      <c r="L955" s="15"/>
      <c r="P955" s="15"/>
      <c r="Q955" s="15"/>
      <c r="R955" s="15"/>
      <c r="S955" s="15"/>
    </row>
    <row r="956" spans="1:19" x14ac:dyDescent="0.25">
      <c r="A956" s="15"/>
      <c r="B956" s="15"/>
      <c r="C956" s="15"/>
      <c r="D956" s="16"/>
      <c r="H956" s="15"/>
      <c r="L956" s="15"/>
      <c r="P956" s="15"/>
      <c r="Q956" s="15"/>
      <c r="R956" s="15"/>
      <c r="S956" s="15"/>
    </row>
    <row r="957" spans="1:19" x14ac:dyDescent="0.25">
      <c r="A957" s="15"/>
      <c r="B957" s="15"/>
      <c r="C957" s="15"/>
      <c r="D957" s="16"/>
      <c r="H957" s="15"/>
      <c r="L957" s="15"/>
      <c r="P957" s="15"/>
      <c r="Q957" s="15"/>
      <c r="R957" s="15"/>
      <c r="S957" s="15"/>
    </row>
    <row r="958" spans="1:19" x14ac:dyDescent="0.25">
      <c r="A958" s="15"/>
      <c r="B958" s="15"/>
      <c r="C958" s="15"/>
      <c r="D958" s="16"/>
      <c r="H958" s="15"/>
      <c r="L958" s="15"/>
      <c r="P958" s="15"/>
      <c r="Q958" s="15"/>
      <c r="R958" s="15"/>
      <c r="S958" s="15"/>
    </row>
    <row r="959" spans="1:19" x14ac:dyDescent="0.25">
      <c r="A959" s="15"/>
      <c r="B959" s="15"/>
      <c r="C959" s="15"/>
      <c r="D959" s="16"/>
      <c r="H959" s="15"/>
      <c r="L959" s="15"/>
      <c r="P959" s="15"/>
      <c r="Q959" s="15"/>
      <c r="R959" s="15"/>
      <c r="S959" s="15"/>
    </row>
    <row r="960" spans="1:19" x14ac:dyDescent="0.25">
      <c r="A960" s="15"/>
      <c r="B960" s="15"/>
      <c r="C960" s="15"/>
      <c r="D960" s="16"/>
      <c r="H960" s="15"/>
      <c r="L960" s="15"/>
      <c r="P960" s="15"/>
      <c r="Q960" s="15"/>
      <c r="R960" s="15"/>
      <c r="S960" s="15"/>
    </row>
    <row r="961" spans="1:19" x14ac:dyDescent="0.25">
      <c r="A961" s="15"/>
      <c r="B961" s="15"/>
      <c r="C961" s="15"/>
      <c r="D961" s="16"/>
      <c r="H961" s="15"/>
      <c r="L961" s="15"/>
      <c r="P961" s="15"/>
      <c r="Q961" s="15"/>
      <c r="R961" s="15"/>
      <c r="S961" s="15"/>
    </row>
    <row r="962" spans="1:19" x14ac:dyDescent="0.25">
      <c r="A962" s="15"/>
      <c r="B962" s="15"/>
      <c r="C962" s="15"/>
      <c r="D962" s="16"/>
      <c r="H962" s="15"/>
      <c r="L962" s="15"/>
      <c r="P962" s="15"/>
      <c r="Q962" s="15"/>
      <c r="R962" s="15"/>
      <c r="S962" s="15"/>
    </row>
    <row r="963" spans="1:19" x14ac:dyDescent="0.25">
      <c r="A963" s="15"/>
      <c r="B963" s="15"/>
      <c r="C963" s="15"/>
      <c r="D963" s="16"/>
      <c r="H963" s="15"/>
      <c r="L963" s="15"/>
      <c r="P963" s="15"/>
      <c r="Q963" s="15"/>
      <c r="R963" s="15"/>
      <c r="S963" s="15"/>
    </row>
    <row r="964" spans="1:19" x14ac:dyDescent="0.25">
      <c r="A964" s="15"/>
      <c r="B964" s="15"/>
      <c r="C964" s="15"/>
      <c r="D964" s="16"/>
      <c r="H964" s="15"/>
      <c r="L964" s="15"/>
      <c r="P964" s="15"/>
      <c r="Q964" s="15"/>
      <c r="R964" s="15"/>
      <c r="S964" s="15"/>
    </row>
    <row r="965" spans="1:19" x14ac:dyDescent="0.25">
      <c r="A965" s="15"/>
      <c r="B965" s="15"/>
      <c r="C965" s="15"/>
      <c r="D965" s="16"/>
      <c r="H965" s="15"/>
      <c r="L965" s="15"/>
      <c r="P965" s="15"/>
      <c r="Q965" s="15"/>
      <c r="R965" s="15"/>
      <c r="S965" s="15"/>
    </row>
    <row r="966" spans="1:19" x14ac:dyDescent="0.25">
      <c r="A966" s="15"/>
      <c r="B966" s="15"/>
      <c r="C966" s="15"/>
      <c r="D966" s="16"/>
      <c r="H966" s="15"/>
      <c r="L966" s="15"/>
      <c r="P966" s="15"/>
      <c r="Q966" s="15"/>
      <c r="R966" s="15"/>
      <c r="S966" s="15"/>
    </row>
    <row r="967" spans="1:19" x14ac:dyDescent="0.25">
      <c r="A967" s="15"/>
      <c r="B967" s="15"/>
      <c r="C967" s="15"/>
      <c r="D967" s="16"/>
      <c r="H967" s="15"/>
      <c r="L967" s="15"/>
      <c r="P967" s="15"/>
      <c r="Q967" s="15"/>
      <c r="R967" s="15"/>
      <c r="S967" s="15"/>
    </row>
    <row r="968" spans="1:19" x14ac:dyDescent="0.25">
      <c r="A968" s="15"/>
      <c r="B968" s="15"/>
      <c r="C968" s="15"/>
      <c r="D968" s="16"/>
      <c r="H968" s="15"/>
      <c r="L968" s="15"/>
      <c r="P968" s="15"/>
      <c r="Q968" s="15"/>
      <c r="R968" s="15"/>
      <c r="S968" s="15"/>
    </row>
    <row r="969" spans="1:19" x14ac:dyDescent="0.25">
      <c r="A969" s="15"/>
      <c r="B969" s="15"/>
      <c r="C969" s="15"/>
      <c r="D969" s="16"/>
      <c r="H969" s="15"/>
      <c r="L969" s="15"/>
      <c r="P969" s="15"/>
      <c r="Q969" s="15"/>
      <c r="R969" s="15"/>
      <c r="S969" s="15"/>
    </row>
    <row r="970" spans="1:19" x14ac:dyDescent="0.25">
      <c r="A970" s="15"/>
      <c r="B970" s="15"/>
      <c r="C970" s="15"/>
      <c r="D970" s="16"/>
      <c r="H970" s="15"/>
      <c r="L970" s="15"/>
      <c r="P970" s="15"/>
      <c r="Q970" s="15"/>
      <c r="R970" s="15"/>
      <c r="S970" s="15"/>
    </row>
    <row r="971" spans="1:19" x14ac:dyDescent="0.25">
      <c r="A971" s="15"/>
      <c r="B971" s="15"/>
      <c r="C971" s="15"/>
      <c r="D971" s="16"/>
      <c r="H971" s="15"/>
      <c r="L971" s="15"/>
      <c r="P971" s="15"/>
      <c r="Q971" s="15"/>
      <c r="R971" s="15"/>
      <c r="S971" s="15"/>
    </row>
    <row r="972" spans="1:19" x14ac:dyDescent="0.25">
      <c r="A972" s="15"/>
      <c r="B972" s="15"/>
      <c r="C972" s="15"/>
      <c r="D972" s="16"/>
      <c r="H972" s="15"/>
      <c r="L972" s="15"/>
      <c r="P972" s="15"/>
      <c r="Q972" s="15"/>
      <c r="R972" s="15"/>
      <c r="S972" s="15"/>
    </row>
    <row r="973" spans="1:19" x14ac:dyDescent="0.25">
      <c r="A973" s="15"/>
      <c r="B973" s="15"/>
      <c r="C973" s="15"/>
      <c r="D973" s="16"/>
      <c r="H973" s="15"/>
      <c r="L973" s="15"/>
      <c r="P973" s="15"/>
      <c r="Q973" s="15"/>
      <c r="R973" s="15"/>
      <c r="S973" s="15"/>
    </row>
    <row r="974" spans="1:19" x14ac:dyDescent="0.25">
      <c r="A974" s="15"/>
      <c r="B974" s="15"/>
      <c r="C974" s="15"/>
      <c r="D974" s="16"/>
      <c r="H974" s="15"/>
      <c r="L974" s="15"/>
      <c r="P974" s="15"/>
      <c r="Q974" s="15"/>
      <c r="R974" s="15"/>
      <c r="S974" s="15"/>
    </row>
    <row r="975" spans="1:19" x14ac:dyDescent="0.25">
      <c r="A975" s="15"/>
      <c r="B975" s="15"/>
      <c r="C975" s="15"/>
      <c r="D975" s="16"/>
      <c r="H975" s="15"/>
      <c r="L975" s="15"/>
      <c r="P975" s="15"/>
      <c r="Q975" s="15"/>
      <c r="R975" s="15"/>
      <c r="S975" s="15"/>
    </row>
    <row r="976" spans="1:19" x14ac:dyDescent="0.25">
      <c r="A976" s="15"/>
      <c r="B976" s="15"/>
      <c r="C976" s="15"/>
      <c r="D976" s="16"/>
      <c r="H976" s="15"/>
      <c r="L976" s="15"/>
      <c r="P976" s="15"/>
      <c r="Q976" s="15"/>
      <c r="R976" s="15"/>
      <c r="S976" s="15"/>
    </row>
    <row r="977" spans="1:19" x14ac:dyDescent="0.25">
      <c r="A977" s="15"/>
      <c r="B977" s="15"/>
      <c r="C977" s="15"/>
      <c r="D977" s="16"/>
      <c r="H977" s="15"/>
      <c r="L977" s="15"/>
      <c r="P977" s="15"/>
      <c r="Q977" s="15"/>
      <c r="R977" s="15"/>
      <c r="S977" s="15"/>
    </row>
    <row r="978" spans="1:19" x14ac:dyDescent="0.25">
      <c r="A978" s="15"/>
      <c r="B978" s="15"/>
      <c r="C978" s="15"/>
      <c r="D978" s="16"/>
      <c r="H978" s="15"/>
      <c r="L978" s="15"/>
      <c r="P978" s="15"/>
      <c r="Q978" s="15"/>
      <c r="R978" s="15"/>
      <c r="S978" s="15"/>
    </row>
    <row r="979" spans="1:19" x14ac:dyDescent="0.25">
      <c r="A979" s="15"/>
      <c r="B979" s="15"/>
      <c r="C979" s="15"/>
      <c r="D979" s="16"/>
      <c r="H979" s="15"/>
      <c r="L979" s="15"/>
      <c r="P979" s="15"/>
      <c r="Q979" s="15"/>
      <c r="R979" s="15"/>
      <c r="S979" s="15"/>
    </row>
    <row r="980" spans="1:19" x14ac:dyDescent="0.25">
      <c r="A980" s="15"/>
      <c r="B980" s="15"/>
      <c r="C980" s="15"/>
      <c r="D980" s="16"/>
      <c r="H980" s="15"/>
      <c r="L980" s="15"/>
      <c r="P980" s="15"/>
      <c r="Q980" s="15"/>
      <c r="R980" s="15"/>
      <c r="S980" s="15"/>
    </row>
    <row r="981" spans="1:19" x14ac:dyDescent="0.25">
      <c r="A981" s="15"/>
      <c r="B981" s="15"/>
      <c r="C981" s="15"/>
      <c r="D981" s="16"/>
      <c r="H981" s="15"/>
      <c r="L981" s="15"/>
      <c r="P981" s="15"/>
      <c r="Q981" s="15"/>
      <c r="R981" s="15"/>
      <c r="S981" s="15"/>
    </row>
    <row r="982" spans="1:19" x14ac:dyDescent="0.25">
      <c r="A982" s="15"/>
      <c r="B982" s="15"/>
      <c r="C982" s="15"/>
      <c r="D982" s="16"/>
      <c r="H982" s="15"/>
      <c r="L982" s="15"/>
      <c r="P982" s="15"/>
      <c r="Q982" s="15"/>
      <c r="R982" s="15"/>
      <c r="S982" s="15"/>
    </row>
    <row r="983" spans="1:19" x14ac:dyDescent="0.25">
      <c r="A983" s="15"/>
      <c r="B983" s="15"/>
      <c r="C983" s="15"/>
      <c r="D983" s="16"/>
      <c r="H983" s="15"/>
      <c r="L983" s="15"/>
      <c r="P983" s="15"/>
      <c r="Q983" s="15"/>
      <c r="R983" s="15"/>
      <c r="S983" s="15"/>
    </row>
    <row r="984" spans="1:19" x14ac:dyDescent="0.25">
      <c r="A984" s="15"/>
      <c r="B984" s="15"/>
      <c r="C984" s="15"/>
      <c r="D984" s="16"/>
      <c r="H984" s="15"/>
      <c r="L984" s="15"/>
      <c r="P984" s="15"/>
      <c r="Q984" s="15"/>
      <c r="R984" s="15"/>
      <c r="S984" s="15"/>
    </row>
    <row r="985" spans="1:19" x14ac:dyDescent="0.25">
      <c r="A985" s="15"/>
      <c r="B985" s="15"/>
      <c r="C985" s="15"/>
      <c r="D985" s="16"/>
      <c r="H985" s="15"/>
      <c r="L985" s="15"/>
      <c r="P985" s="15"/>
      <c r="Q985" s="15"/>
      <c r="R985" s="15"/>
      <c r="S985" s="15"/>
    </row>
    <row r="986" spans="1:19" x14ac:dyDescent="0.25">
      <c r="A986" s="15"/>
      <c r="B986" s="15"/>
      <c r="C986" s="15"/>
      <c r="D986" s="16"/>
      <c r="H986" s="15"/>
      <c r="L986" s="15"/>
      <c r="P986" s="15"/>
      <c r="Q986" s="15"/>
      <c r="R986" s="15"/>
      <c r="S986" s="15"/>
    </row>
    <row r="987" spans="1:19" x14ac:dyDescent="0.25">
      <c r="A987" s="15"/>
      <c r="B987" s="15"/>
      <c r="C987" s="15"/>
      <c r="D987" s="16"/>
      <c r="H987" s="15"/>
      <c r="L987" s="15"/>
      <c r="P987" s="15"/>
      <c r="Q987" s="15"/>
      <c r="R987" s="15"/>
      <c r="S987" s="15"/>
    </row>
    <row r="988" spans="1:19" x14ac:dyDescent="0.25">
      <c r="A988" s="15"/>
      <c r="B988" s="15"/>
      <c r="C988" s="15"/>
      <c r="D988" s="16"/>
      <c r="H988" s="15"/>
      <c r="L988" s="15"/>
      <c r="P988" s="15"/>
      <c r="Q988" s="15"/>
      <c r="R988" s="15"/>
      <c r="S988" s="15"/>
    </row>
    <row r="989" spans="1:19" x14ac:dyDescent="0.25">
      <c r="A989" s="15"/>
      <c r="B989" s="15"/>
      <c r="C989" s="15"/>
      <c r="D989" s="16"/>
      <c r="H989" s="15"/>
      <c r="L989" s="15"/>
      <c r="P989" s="15"/>
      <c r="Q989" s="15"/>
      <c r="R989" s="15"/>
      <c r="S989" s="15"/>
    </row>
    <row r="990" spans="1:19" x14ac:dyDescent="0.25">
      <c r="A990" s="15"/>
      <c r="B990" s="15"/>
      <c r="C990" s="15"/>
      <c r="D990" s="16"/>
      <c r="H990" s="15"/>
      <c r="L990" s="15"/>
      <c r="P990" s="15"/>
      <c r="Q990" s="15"/>
      <c r="R990" s="15"/>
      <c r="S990" s="15"/>
    </row>
    <row r="991" spans="1:19" x14ac:dyDescent="0.25">
      <c r="A991" s="15"/>
      <c r="B991" s="15"/>
      <c r="C991" s="15"/>
      <c r="D991" s="16"/>
      <c r="H991" s="15"/>
      <c r="L991" s="15"/>
      <c r="P991" s="15"/>
      <c r="Q991" s="15"/>
      <c r="R991" s="15"/>
      <c r="S991" s="15"/>
    </row>
    <row r="992" spans="1:19" x14ac:dyDescent="0.25">
      <c r="A992" s="15"/>
      <c r="B992" s="15"/>
      <c r="C992" s="15"/>
      <c r="D992" s="16"/>
      <c r="H992" s="15"/>
      <c r="L992" s="15"/>
      <c r="P992" s="15"/>
      <c r="Q992" s="15"/>
      <c r="R992" s="15"/>
      <c r="S992" s="15"/>
    </row>
    <row r="993" spans="1:19" x14ac:dyDescent="0.25">
      <c r="A993" s="15"/>
      <c r="B993" s="15"/>
      <c r="C993" s="15"/>
      <c r="D993" s="16"/>
      <c r="H993" s="15"/>
      <c r="L993" s="15"/>
      <c r="P993" s="15"/>
      <c r="Q993" s="15"/>
      <c r="R993" s="15"/>
      <c r="S993" s="15"/>
    </row>
    <row r="994" spans="1:19" x14ac:dyDescent="0.25">
      <c r="A994" s="15"/>
      <c r="B994" s="15"/>
      <c r="C994" s="15"/>
      <c r="D994" s="16"/>
      <c r="H994" s="15"/>
      <c r="L994" s="15"/>
      <c r="P994" s="15"/>
      <c r="Q994" s="15"/>
      <c r="R994" s="15"/>
      <c r="S994" s="15"/>
    </row>
    <row r="995" spans="1:19" x14ac:dyDescent="0.25">
      <c r="A995" s="15"/>
      <c r="B995" s="15"/>
      <c r="C995" s="15"/>
      <c r="D995" s="16"/>
      <c r="H995" s="15"/>
      <c r="L995" s="15"/>
      <c r="P995" s="15"/>
      <c r="Q995" s="15"/>
      <c r="R995" s="15"/>
      <c r="S995" s="15"/>
    </row>
    <row r="996" spans="1:19" x14ac:dyDescent="0.25">
      <c r="A996" s="15"/>
      <c r="B996" s="15"/>
      <c r="C996" s="15"/>
      <c r="D996" s="16"/>
      <c r="H996" s="15"/>
      <c r="L996" s="15"/>
      <c r="P996" s="15"/>
      <c r="Q996" s="15"/>
      <c r="R996" s="15"/>
      <c r="S996" s="15"/>
    </row>
    <row r="997" spans="1:19" x14ac:dyDescent="0.25">
      <c r="A997" s="15"/>
      <c r="B997" s="15"/>
      <c r="C997" s="15"/>
      <c r="D997" s="16"/>
      <c r="H997" s="15"/>
      <c r="L997" s="15"/>
      <c r="P997" s="15"/>
      <c r="Q997" s="15"/>
      <c r="R997" s="15"/>
      <c r="S997" s="15"/>
    </row>
    <row r="998" spans="1:19" x14ac:dyDescent="0.25">
      <c r="A998" s="15"/>
      <c r="B998" s="15"/>
      <c r="C998" s="15"/>
      <c r="D998" s="16"/>
      <c r="H998" s="15"/>
      <c r="L998" s="15"/>
      <c r="P998" s="15"/>
      <c r="Q998" s="15"/>
      <c r="R998" s="15"/>
      <c r="S998" s="15"/>
    </row>
    <row r="999" spans="1:19" x14ac:dyDescent="0.25">
      <c r="A999" s="15"/>
      <c r="B999" s="15"/>
      <c r="C999" s="15"/>
      <c r="D999" s="16"/>
      <c r="H999" s="15"/>
      <c r="L999" s="15"/>
      <c r="P999" s="15"/>
      <c r="Q999" s="15"/>
      <c r="R999" s="15"/>
      <c r="S999" s="15"/>
    </row>
    <row r="1000" spans="1:19" x14ac:dyDescent="0.25">
      <c r="A1000" s="15"/>
      <c r="B1000" s="15"/>
      <c r="C1000" s="15"/>
      <c r="D1000" s="16"/>
      <c r="H1000" s="15"/>
      <c r="L1000" s="15"/>
      <c r="P1000" s="15"/>
      <c r="Q1000" s="15"/>
      <c r="R1000" s="15"/>
      <c r="S1000" s="15"/>
    </row>
    <row r="1001" spans="1:19" x14ac:dyDescent="0.25">
      <c r="A1001" s="15"/>
      <c r="B1001" s="15"/>
      <c r="C1001" s="15"/>
      <c r="D1001" s="16"/>
      <c r="H1001" s="15"/>
      <c r="L1001" s="15"/>
      <c r="P1001" s="15"/>
      <c r="Q1001" s="15"/>
      <c r="R1001" s="15"/>
      <c r="S1001" s="15"/>
    </row>
    <row r="1002" spans="1:19" x14ac:dyDescent="0.25">
      <c r="A1002" s="15"/>
      <c r="B1002" s="15"/>
      <c r="C1002" s="15"/>
      <c r="D1002" s="16"/>
      <c r="H1002" s="15"/>
      <c r="L1002" s="15"/>
      <c r="P1002" s="15"/>
      <c r="Q1002" s="15"/>
      <c r="R1002" s="15"/>
      <c r="S1002" s="15"/>
    </row>
    <row r="1003" spans="1:19" x14ac:dyDescent="0.25">
      <c r="A1003" s="15"/>
      <c r="B1003" s="15"/>
      <c r="C1003" s="15"/>
      <c r="D1003" s="16"/>
      <c r="H1003" s="15"/>
      <c r="L1003" s="15"/>
      <c r="P1003" s="15"/>
      <c r="Q1003" s="15"/>
      <c r="R1003" s="15"/>
      <c r="S1003" s="15"/>
    </row>
    <row r="1004" spans="1:19" x14ac:dyDescent="0.25">
      <c r="A1004" s="15"/>
      <c r="B1004" s="15"/>
      <c r="C1004" s="15"/>
      <c r="D1004" s="16"/>
      <c r="H1004" s="15"/>
      <c r="L1004" s="15"/>
      <c r="P1004" s="15"/>
      <c r="Q1004" s="15"/>
      <c r="R1004" s="15"/>
      <c r="S1004" s="15"/>
    </row>
    <row r="1005" spans="1:19" x14ac:dyDescent="0.25">
      <c r="A1005" s="15"/>
      <c r="B1005" s="15"/>
      <c r="C1005" s="15"/>
      <c r="D1005" s="16"/>
      <c r="H1005" s="15"/>
      <c r="L1005" s="15"/>
      <c r="P1005" s="15"/>
      <c r="Q1005" s="15"/>
      <c r="R1005" s="15"/>
      <c r="S1005" s="15"/>
    </row>
    <row r="1006" spans="1:19" x14ac:dyDescent="0.25">
      <c r="A1006" s="15"/>
      <c r="B1006" s="15"/>
      <c r="C1006" s="15"/>
      <c r="D1006" s="16"/>
      <c r="H1006" s="15"/>
      <c r="L1006" s="15"/>
      <c r="P1006" s="15"/>
      <c r="Q1006" s="15"/>
      <c r="R1006" s="15"/>
      <c r="S1006" s="15"/>
    </row>
    <row r="1007" spans="1:19" x14ac:dyDescent="0.25">
      <c r="A1007" s="15"/>
      <c r="B1007" s="15"/>
      <c r="C1007" s="15"/>
      <c r="D1007" s="16"/>
      <c r="H1007" s="15"/>
      <c r="L1007" s="15"/>
      <c r="P1007" s="15"/>
      <c r="Q1007" s="15"/>
      <c r="R1007" s="15"/>
      <c r="S1007" s="15"/>
    </row>
    <row r="1008" spans="1:19" x14ac:dyDescent="0.25">
      <c r="A1008" s="15"/>
      <c r="B1008" s="15"/>
      <c r="C1008" s="15"/>
      <c r="D1008" s="16"/>
      <c r="H1008" s="15"/>
      <c r="L1008" s="15"/>
      <c r="P1008" s="15"/>
      <c r="Q1008" s="15"/>
      <c r="R1008" s="15"/>
      <c r="S1008" s="15"/>
    </row>
    <row r="1009" spans="1:19" x14ac:dyDescent="0.25">
      <c r="A1009" s="15"/>
      <c r="B1009" s="15"/>
      <c r="C1009" s="15"/>
      <c r="D1009" s="16"/>
      <c r="H1009" s="15"/>
      <c r="L1009" s="15"/>
      <c r="P1009" s="15"/>
      <c r="Q1009" s="15"/>
      <c r="R1009" s="15"/>
      <c r="S1009" s="15"/>
    </row>
    <row r="1010" spans="1:19" x14ac:dyDescent="0.25">
      <c r="A1010" s="15"/>
      <c r="B1010" s="15"/>
      <c r="C1010" s="15"/>
      <c r="D1010" s="16"/>
      <c r="H1010" s="15"/>
      <c r="L1010" s="15"/>
      <c r="P1010" s="15"/>
      <c r="Q1010" s="15"/>
      <c r="R1010" s="15"/>
      <c r="S1010" s="15"/>
    </row>
    <row r="1011" spans="1:19" x14ac:dyDescent="0.25">
      <c r="A1011" s="15"/>
      <c r="B1011" s="15"/>
      <c r="C1011" s="15"/>
      <c r="D1011" s="16"/>
      <c r="H1011" s="15"/>
      <c r="L1011" s="15"/>
      <c r="P1011" s="15"/>
      <c r="Q1011" s="15"/>
      <c r="R1011" s="15"/>
      <c r="S1011" s="15"/>
    </row>
    <row r="1012" spans="1:19" x14ac:dyDescent="0.25">
      <c r="A1012" s="15"/>
      <c r="B1012" s="15"/>
      <c r="C1012" s="15"/>
      <c r="D1012" s="16"/>
      <c r="H1012" s="15"/>
      <c r="L1012" s="15"/>
      <c r="P1012" s="15"/>
      <c r="Q1012" s="15"/>
      <c r="R1012" s="15"/>
      <c r="S1012" s="15"/>
    </row>
    <row r="1013" spans="1:19" x14ac:dyDescent="0.25">
      <c r="A1013" s="15"/>
      <c r="B1013" s="15"/>
      <c r="C1013" s="15"/>
      <c r="D1013" s="16"/>
      <c r="H1013" s="15"/>
      <c r="L1013" s="15"/>
      <c r="P1013" s="15"/>
      <c r="Q1013" s="15"/>
      <c r="R1013" s="15"/>
      <c r="S1013" s="15"/>
    </row>
    <row r="1014" spans="1:19" x14ac:dyDescent="0.25">
      <c r="A1014" s="15"/>
      <c r="B1014" s="15"/>
      <c r="C1014" s="15"/>
      <c r="D1014" s="16"/>
      <c r="H1014" s="15"/>
      <c r="L1014" s="15"/>
      <c r="P1014" s="15"/>
      <c r="Q1014" s="15"/>
      <c r="R1014" s="15"/>
      <c r="S1014" s="15"/>
    </row>
    <row r="1015" spans="1:19" x14ac:dyDescent="0.25">
      <c r="A1015" s="15"/>
      <c r="B1015" s="15"/>
      <c r="C1015" s="15"/>
      <c r="D1015" s="16"/>
      <c r="H1015" s="15"/>
      <c r="L1015" s="15"/>
      <c r="P1015" s="15"/>
      <c r="Q1015" s="15"/>
      <c r="R1015" s="15"/>
      <c r="S1015" s="15"/>
    </row>
    <row r="1016" spans="1:19" x14ac:dyDescent="0.25">
      <c r="A1016" s="15"/>
      <c r="B1016" s="15"/>
      <c r="C1016" s="15"/>
      <c r="D1016" s="16"/>
      <c r="H1016" s="15"/>
      <c r="L1016" s="15"/>
      <c r="P1016" s="15"/>
      <c r="Q1016" s="15"/>
      <c r="R1016" s="15"/>
      <c r="S1016" s="15"/>
    </row>
    <row r="1017" spans="1:19" x14ac:dyDescent="0.25">
      <c r="A1017" s="15"/>
      <c r="B1017" s="15"/>
      <c r="C1017" s="15"/>
      <c r="D1017" s="16"/>
      <c r="H1017" s="15"/>
      <c r="L1017" s="15"/>
      <c r="P1017" s="15"/>
      <c r="Q1017" s="15"/>
      <c r="R1017" s="15"/>
      <c r="S1017" s="15"/>
    </row>
    <row r="1018" spans="1:19" x14ac:dyDescent="0.25">
      <c r="A1018" s="15"/>
      <c r="B1018" s="15"/>
      <c r="C1018" s="15"/>
      <c r="D1018" s="16"/>
      <c r="H1018" s="15"/>
      <c r="L1018" s="15"/>
      <c r="P1018" s="15"/>
      <c r="Q1018" s="15"/>
      <c r="R1018" s="15"/>
      <c r="S1018" s="15"/>
    </row>
    <row r="1019" spans="1:19" x14ac:dyDescent="0.25">
      <c r="A1019" s="15"/>
      <c r="B1019" s="15"/>
      <c r="C1019" s="15"/>
      <c r="D1019" s="16"/>
      <c r="H1019" s="15"/>
      <c r="L1019" s="15"/>
      <c r="P1019" s="15"/>
      <c r="Q1019" s="15"/>
      <c r="R1019" s="15"/>
      <c r="S1019" s="15"/>
    </row>
    <row r="1020" spans="1:19" x14ac:dyDescent="0.25">
      <c r="A1020" s="15"/>
      <c r="B1020" s="15"/>
      <c r="C1020" s="15"/>
      <c r="D1020" s="16"/>
      <c r="H1020" s="15"/>
      <c r="L1020" s="15"/>
      <c r="P1020" s="15"/>
      <c r="Q1020" s="15"/>
      <c r="R1020" s="15"/>
      <c r="S1020" s="15"/>
    </row>
    <row r="1021" spans="1:19" x14ac:dyDescent="0.25">
      <c r="A1021" s="15"/>
      <c r="B1021" s="15"/>
      <c r="C1021" s="15"/>
      <c r="D1021" s="16"/>
      <c r="H1021" s="15"/>
      <c r="L1021" s="15"/>
      <c r="P1021" s="15"/>
      <c r="Q1021" s="15"/>
      <c r="R1021" s="15"/>
      <c r="S1021" s="15"/>
    </row>
    <row r="1022" spans="1:19" x14ac:dyDescent="0.25">
      <c r="A1022" s="15"/>
      <c r="B1022" s="15"/>
      <c r="C1022" s="15"/>
      <c r="D1022" s="16"/>
      <c r="H1022" s="15"/>
      <c r="L1022" s="15"/>
      <c r="P1022" s="15"/>
      <c r="Q1022" s="15"/>
      <c r="R1022" s="15"/>
      <c r="S1022" s="15"/>
    </row>
    <row r="1023" spans="1:19" x14ac:dyDescent="0.25">
      <c r="A1023" s="15"/>
      <c r="B1023" s="15"/>
      <c r="C1023" s="15"/>
      <c r="D1023" s="16"/>
      <c r="H1023" s="15"/>
      <c r="L1023" s="15"/>
      <c r="P1023" s="15"/>
      <c r="Q1023" s="15"/>
      <c r="R1023" s="15"/>
      <c r="S1023" s="15"/>
    </row>
    <row r="1024" spans="1:19" x14ac:dyDescent="0.25">
      <c r="A1024" s="15"/>
      <c r="B1024" s="15"/>
      <c r="C1024" s="15"/>
      <c r="D1024" s="16"/>
      <c r="H1024" s="15"/>
      <c r="L1024" s="15"/>
      <c r="P1024" s="15"/>
      <c r="Q1024" s="15"/>
      <c r="R1024" s="15"/>
      <c r="S1024" s="15"/>
    </row>
    <row r="1025" spans="1:19" x14ac:dyDescent="0.25">
      <c r="A1025" s="15"/>
      <c r="B1025" s="15"/>
      <c r="C1025" s="15"/>
      <c r="D1025" s="16"/>
      <c r="H1025" s="15"/>
      <c r="L1025" s="15"/>
      <c r="P1025" s="15"/>
      <c r="Q1025" s="15"/>
      <c r="R1025" s="15"/>
      <c r="S1025" s="15"/>
    </row>
    <row r="1026" spans="1:19" x14ac:dyDescent="0.25">
      <c r="A1026" s="15"/>
      <c r="B1026" s="15"/>
      <c r="C1026" s="15"/>
      <c r="D1026" s="16"/>
      <c r="H1026" s="15"/>
      <c r="L1026" s="15"/>
      <c r="P1026" s="15"/>
      <c r="Q1026" s="15"/>
      <c r="R1026" s="15"/>
      <c r="S1026" s="15"/>
    </row>
    <row r="1027" spans="1:19" x14ac:dyDescent="0.25">
      <c r="A1027" s="15"/>
      <c r="B1027" s="15"/>
      <c r="C1027" s="15"/>
      <c r="D1027" s="16"/>
      <c r="H1027" s="15"/>
      <c r="L1027" s="15"/>
      <c r="P1027" s="15"/>
      <c r="Q1027" s="15"/>
      <c r="R1027" s="15"/>
      <c r="S1027" s="15"/>
    </row>
    <row r="1028" spans="1:19" x14ac:dyDescent="0.25">
      <c r="A1028" s="15"/>
      <c r="B1028" s="15"/>
      <c r="C1028" s="15"/>
      <c r="D1028" s="16"/>
      <c r="H1028" s="15"/>
      <c r="L1028" s="15"/>
      <c r="P1028" s="15"/>
      <c r="Q1028" s="15"/>
      <c r="R1028" s="15"/>
      <c r="S1028" s="15"/>
    </row>
    <row r="1029" spans="1:19" x14ac:dyDescent="0.25">
      <c r="A1029" s="15"/>
      <c r="B1029" s="15"/>
      <c r="C1029" s="15"/>
      <c r="D1029" s="16"/>
      <c r="H1029" s="15"/>
      <c r="L1029" s="15"/>
      <c r="P1029" s="15"/>
      <c r="Q1029" s="15"/>
      <c r="R1029" s="15"/>
      <c r="S1029" s="15"/>
    </row>
    <row r="1030" spans="1:19" x14ac:dyDescent="0.25">
      <c r="A1030" s="15"/>
      <c r="B1030" s="15"/>
      <c r="C1030" s="15"/>
      <c r="D1030" s="16"/>
      <c r="H1030" s="15"/>
      <c r="L1030" s="15"/>
      <c r="P1030" s="15"/>
      <c r="Q1030" s="15"/>
      <c r="R1030" s="15"/>
      <c r="S1030" s="15"/>
    </row>
    <row r="1031" spans="1:19" x14ac:dyDescent="0.25">
      <c r="A1031" s="15"/>
      <c r="B1031" s="15"/>
      <c r="C1031" s="15"/>
      <c r="D1031" s="16"/>
      <c r="H1031" s="15"/>
      <c r="L1031" s="15"/>
      <c r="P1031" s="15"/>
      <c r="Q1031" s="15"/>
      <c r="R1031" s="15"/>
      <c r="S1031" s="15"/>
    </row>
  </sheetData>
  <mergeCells count="5">
    <mergeCell ref="H8:J8"/>
    <mergeCell ref="L8:N8"/>
    <mergeCell ref="C7:F7"/>
    <mergeCell ref="P7:T7"/>
    <mergeCell ref="H7:N7"/>
  </mergeCells>
  <phoneticPr fontId="2" type="noConversion"/>
  <printOptions horizontalCentered="1"/>
  <pageMargins left="0" right="0" top="0.78740157480314965" bottom="0" header="0.51181102362204722" footer="0.51181102362204722"/>
  <pageSetup paperSize="9" scale="50" fitToHeight="0" orientation="landscape" r:id="rId1"/>
  <headerFooter alignWithMargins="0">
    <oddHeader>&amp;R&amp;"Arial,Félkövér dőlt"&amp;12&amp;A  /&amp;8
&amp;"Arial,Dőlt"&amp;10&amp;F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45"/>
  <sheetViews>
    <sheetView view="pageBreakPreview" topLeftCell="B82" zoomScale="75" zoomScaleNormal="75" zoomScaleSheetLayoutView="75" workbookViewId="0">
      <selection activeCell="H101" sqref="H101"/>
    </sheetView>
  </sheetViews>
  <sheetFormatPr defaultRowHeight="13.2" x14ac:dyDescent="0.25"/>
  <cols>
    <col min="1" max="1" width="6.44140625" style="17" bestFit="1" customWidth="1"/>
    <col min="2" max="2" width="56.44140625" style="9" customWidth="1"/>
    <col min="3" max="3" width="15.5546875" style="12" customWidth="1"/>
    <col min="4" max="6" width="15.5546875" style="9" customWidth="1"/>
    <col min="7" max="7" width="0.6640625" style="9" customWidth="1"/>
    <col min="8" max="10" width="15.5546875" style="9" customWidth="1"/>
    <col min="11" max="11" width="0.6640625" style="9" customWidth="1"/>
    <col min="12" max="12" width="13.5546875" style="9" bestFit="1" customWidth="1"/>
    <col min="13" max="14" width="11.33203125" style="9" bestFit="1" customWidth="1"/>
    <col min="15" max="15" width="0.6640625" style="9" customWidth="1"/>
    <col min="16" max="18" width="14.5546875" style="9" customWidth="1"/>
    <col min="19" max="19" width="15.5546875" style="9" customWidth="1"/>
    <col min="20" max="20" width="10.5546875" style="9" customWidth="1"/>
    <col min="21" max="21" width="0.6640625" style="9" customWidth="1"/>
    <col min="22" max="22" width="5.5546875" style="9" customWidth="1"/>
    <col min="25" max="26" width="12.5546875" bestFit="1" customWidth="1"/>
  </cols>
  <sheetData>
    <row r="1" spans="1:26" ht="24.6" x14ac:dyDescent="0.25">
      <c r="A1" s="176" t="s">
        <v>468</v>
      </c>
      <c r="B1" s="489"/>
      <c r="C1" s="489"/>
      <c r="D1" s="489"/>
      <c r="E1" s="489"/>
      <c r="F1" s="489"/>
      <c r="G1" s="490"/>
      <c r="H1" s="491"/>
      <c r="I1" s="491"/>
      <c r="J1" s="492" t="str">
        <f>+'1. Sülysáp összesen'!J1</f>
        <v>2018. ÉV KÖLTSÉGVETÉS</v>
      </c>
      <c r="K1" s="83"/>
      <c r="L1" s="83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7"/>
      <c r="X1" s="28"/>
      <c r="Y1" s="28"/>
    </row>
    <row r="2" spans="1:26" x14ac:dyDescent="0.25">
      <c r="A2" s="557"/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46"/>
    </row>
    <row r="3" spans="1:26" x14ac:dyDescent="0.25">
      <c r="A3" s="557"/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687"/>
      <c r="W3" s="557"/>
      <c r="X3" s="46"/>
    </row>
    <row r="4" spans="1:26" x14ac:dyDescent="0.25">
      <c r="A4" s="559"/>
      <c r="B4" s="496"/>
      <c r="C4" s="560"/>
      <c r="D4" s="560"/>
      <c r="E4" s="560"/>
      <c r="F4" s="560"/>
      <c r="G4" s="560"/>
      <c r="H4" s="560"/>
      <c r="I4" s="560"/>
      <c r="J4" s="560"/>
      <c r="K4" s="560"/>
      <c r="L4" s="496"/>
      <c r="M4" s="496"/>
      <c r="N4" s="496"/>
      <c r="O4" s="496"/>
      <c r="P4" s="560"/>
      <c r="Q4" s="560"/>
      <c r="R4" s="560"/>
      <c r="S4" s="560"/>
      <c r="T4" s="560"/>
      <c r="U4" s="496"/>
      <c r="V4" s="692" t="str">
        <f>+'1. Sülysáp összesen'!V5</f>
        <v>F-oszlop</v>
      </c>
      <c r="W4" s="557"/>
      <c r="X4" s="46"/>
    </row>
    <row r="5" spans="1:26" ht="20.100000000000001" customHeight="1" x14ac:dyDescent="0.25">
      <c r="A5" s="561"/>
      <c r="B5" s="561" t="s">
        <v>380</v>
      </c>
      <c r="C5" s="562">
        <f>+C89</f>
        <v>37247962</v>
      </c>
      <c r="D5" s="562">
        <f t="shared" ref="D5:H5" si="0">+D89</f>
        <v>37247962</v>
      </c>
      <c r="E5" s="562">
        <f t="shared" si="0"/>
        <v>37247962</v>
      </c>
      <c r="F5" s="562">
        <f t="shared" ref="F5" si="1">+F89</f>
        <v>37247962</v>
      </c>
      <c r="G5" s="562"/>
      <c r="H5" s="562">
        <f t="shared" si="0"/>
        <v>18513794</v>
      </c>
      <c r="I5" s="562">
        <f>+I89</f>
        <v>26639005</v>
      </c>
      <c r="J5" s="562">
        <f t="shared" ref="J5" si="2">+J89</f>
        <v>35898271</v>
      </c>
      <c r="K5" s="131"/>
      <c r="L5" s="563">
        <f>IF(C5=0,0,H5/C5)</f>
        <v>0.4970417978841366</v>
      </c>
      <c r="M5" s="563">
        <f>IF(D5=0,0,I5/D5)</f>
        <v>0.71518020234234558</v>
      </c>
      <c r="N5" s="563">
        <f>IF(E5=0,0,J5/E5)</f>
        <v>0.96376470207953924</v>
      </c>
      <c r="O5" s="909"/>
      <c r="P5" s="562">
        <f t="shared" ref="P5:S5" si="3">+P89</f>
        <v>0</v>
      </c>
      <c r="Q5" s="562">
        <f t="shared" si="3"/>
        <v>0</v>
      </c>
      <c r="R5" s="562">
        <f t="shared" si="3"/>
        <v>0</v>
      </c>
      <c r="S5" s="562">
        <f t="shared" si="3"/>
        <v>0</v>
      </c>
      <c r="T5" s="564">
        <f>IF(C5=0,0,+S5/C5)</f>
        <v>0</v>
      </c>
      <c r="U5" s="565"/>
      <c r="V5" s="688">
        <f>+S5-F5+C5</f>
        <v>0</v>
      </c>
      <c r="W5" s="557"/>
      <c r="X5" s="46"/>
    </row>
    <row r="6" spans="1:26" ht="20.100000000000001" customHeight="1" x14ac:dyDescent="0.25">
      <c r="A6" s="566"/>
      <c r="B6" s="566" t="s">
        <v>379</v>
      </c>
      <c r="C6" s="567">
        <f>+C102</f>
        <v>37247962</v>
      </c>
      <c r="D6" s="567">
        <f t="shared" ref="D6:H6" si="4">+D102</f>
        <v>37247962</v>
      </c>
      <c r="E6" s="567">
        <f t="shared" si="4"/>
        <v>37247962</v>
      </c>
      <c r="F6" s="567">
        <f t="shared" ref="F6" si="5">+F102</f>
        <v>37247962</v>
      </c>
      <c r="G6" s="567"/>
      <c r="H6" s="567">
        <f t="shared" si="4"/>
        <v>21178350</v>
      </c>
      <c r="I6" s="567">
        <f>+I102</f>
        <v>29343165</v>
      </c>
      <c r="J6" s="567">
        <f t="shared" ref="J6" si="6">+J102</f>
        <v>37237093</v>
      </c>
      <c r="K6" s="128"/>
      <c r="L6" s="563">
        <f t="shared" ref="L6:L7" si="7">IF(C6=0,0,H6/C6)</f>
        <v>0.56857741639663395</v>
      </c>
      <c r="M6" s="563">
        <f t="shared" ref="M6:M7" si="8">IF(D6=0,0,I6/D6)</f>
        <v>0.78777907365777489</v>
      </c>
      <c r="N6" s="563">
        <f t="shared" ref="N6:N7" si="9">IF(E6=0,0,J6/E6)</f>
        <v>0.99970819880024575</v>
      </c>
      <c r="O6" s="909"/>
      <c r="P6" s="567">
        <f t="shared" ref="P6:S6" si="10">+P102</f>
        <v>0</v>
      </c>
      <c r="Q6" s="567">
        <f t="shared" si="10"/>
        <v>0</v>
      </c>
      <c r="R6" s="567">
        <f t="shared" si="10"/>
        <v>0</v>
      </c>
      <c r="S6" s="567">
        <f t="shared" si="10"/>
        <v>0</v>
      </c>
      <c r="T6" s="563">
        <f>IF(C6=0,0,+S6/C6)</f>
        <v>0</v>
      </c>
      <c r="U6" s="565"/>
      <c r="V6" s="688">
        <f t="shared" ref="V6:V7" si="11">+S6-F6+C6</f>
        <v>0</v>
      </c>
      <c r="W6" s="557"/>
      <c r="X6" s="46"/>
    </row>
    <row r="7" spans="1:26" ht="20.100000000000001" customHeight="1" x14ac:dyDescent="0.25">
      <c r="A7" s="566"/>
      <c r="B7" s="566" t="s">
        <v>416</v>
      </c>
      <c r="C7" s="567">
        <f>+C6-C5</f>
        <v>0</v>
      </c>
      <c r="D7" s="567">
        <f t="shared" ref="D7:H7" si="12">+D6-D5</f>
        <v>0</v>
      </c>
      <c r="E7" s="567">
        <f t="shared" si="12"/>
        <v>0</v>
      </c>
      <c r="F7" s="567">
        <f t="shared" si="12"/>
        <v>0</v>
      </c>
      <c r="G7" s="567"/>
      <c r="H7" s="567">
        <f t="shared" si="12"/>
        <v>2664556</v>
      </c>
      <c r="I7" s="567">
        <f>+I6-I5</f>
        <v>2704160</v>
      </c>
      <c r="J7" s="567">
        <f t="shared" ref="J7" si="13">+J6-J5</f>
        <v>1338822</v>
      </c>
      <c r="K7" s="128"/>
      <c r="L7" s="563">
        <f t="shared" si="7"/>
        <v>0</v>
      </c>
      <c r="M7" s="563">
        <f t="shared" si="8"/>
        <v>0</v>
      </c>
      <c r="N7" s="563">
        <f t="shared" si="9"/>
        <v>0</v>
      </c>
      <c r="O7" s="909"/>
      <c r="P7" s="567">
        <f t="shared" ref="P7" si="14">+P6-P5</f>
        <v>0</v>
      </c>
      <c r="Q7" s="567">
        <f t="shared" ref="Q7" si="15">+Q6-Q5</f>
        <v>0</v>
      </c>
      <c r="R7" s="567">
        <f t="shared" ref="R7" si="16">+R6-R5</f>
        <v>0</v>
      </c>
      <c r="S7" s="567">
        <f t="shared" ref="S7" si="17">+S6-S5</f>
        <v>0</v>
      </c>
      <c r="T7" s="563">
        <f>IF(C7=0,0,+S7/C7)</f>
        <v>0</v>
      </c>
      <c r="U7" s="565"/>
      <c r="V7" s="688">
        <f t="shared" si="11"/>
        <v>0</v>
      </c>
      <c r="W7" s="557"/>
      <c r="X7" s="46"/>
    </row>
    <row r="8" spans="1:26" x14ac:dyDescent="0.25">
      <c r="A8" s="568"/>
      <c r="B8" s="569"/>
      <c r="C8" s="570"/>
      <c r="D8" s="571"/>
      <c r="E8" s="571"/>
      <c r="F8" s="571"/>
      <c r="G8" s="572"/>
      <c r="H8" s="572"/>
      <c r="I8" s="572"/>
      <c r="J8" s="572"/>
      <c r="K8" s="572"/>
      <c r="L8" s="510"/>
      <c r="M8" s="510"/>
      <c r="N8" s="510"/>
      <c r="O8" s="152"/>
      <c r="P8" s="503"/>
      <c r="Q8" s="503"/>
      <c r="R8" s="503"/>
      <c r="S8" s="503"/>
      <c r="T8" s="511"/>
      <c r="U8" s="152"/>
      <c r="V8" s="153"/>
      <c r="W8" s="557"/>
      <c r="X8" s="46"/>
    </row>
    <row r="9" spans="1:26" ht="15.6" x14ac:dyDescent="0.25">
      <c r="A9" s="573"/>
      <c r="B9" s="574"/>
      <c r="C9" s="1093" t="s">
        <v>415</v>
      </c>
      <c r="D9" s="1116"/>
      <c r="E9" s="1116"/>
      <c r="F9" s="1117"/>
      <c r="G9" s="575"/>
      <c r="H9" s="1093" t="s">
        <v>414</v>
      </c>
      <c r="I9" s="1116"/>
      <c r="J9" s="1116"/>
      <c r="K9" s="1116"/>
      <c r="L9" s="1116"/>
      <c r="M9" s="1116"/>
      <c r="N9" s="1117"/>
      <c r="O9" s="575"/>
      <c r="P9" s="1093" t="s">
        <v>411</v>
      </c>
      <c r="Q9" s="1116"/>
      <c r="R9" s="1116"/>
      <c r="S9" s="1116"/>
      <c r="T9" s="1117"/>
      <c r="U9" s="576"/>
      <c r="V9" s="153"/>
      <c r="W9" s="557"/>
      <c r="X9" s="46"/>
    </row>
    <row r="10" spans="1:26" x14ac:dyDescent="0.25">
      <c r="A10" s="559"/>
      <c r="B10" s="496"/>
      <c r="C10" s="577"/>
      <c r="D10" s="560"/>
      <c r="E10" s="560"/>
      <c r="F10" s="578"/>
      <c r="G10" s="61"/>
      <c r="H10" s="1096" t="s">
        <v>424</v>
      </c>
      <c r="I10" s="1097"/>
      <c r="J10" s="1098"/>
      <c r="K10" s="61"/>
      <c r="L10" s="1096" t="s">
        <v>423</v>
      </c>
      <c r="M10" s="1097"/>
      <c r="N10" s="1098"/>
      <c r="O10" s="911"/>
      <c r="P10" s="579">
        <f>+'3. Önk. Kiadások'!P8</f>
        <v>1</v>
      </c>
      <c r="Q10" s="579">
        <f>+'3. Önk. Kiadások'!Q8</f>
        <v>1</v>
      </c>
      <c r="R10" s="579">
        <f>+'3. Önk. Kiadások'!R8</f>
        <v>1</v>
      </c>
      <c r="S10" s="579"/>
      <c r="T10" s="579"/>
      <c r="U10" s="580"/>
      <c r="V10" s="912"/>
      <c r="W10" s="582"/>
      <c r="X10" s="51"/>
      <c r="Y10" s="51"/>
      <c r="Z10" s="51"/>
    </row>
    <row r="11" spans="1:26" ht="68.7" customHeight="1" x14ac:dyDescent="0.25">
      <c r="A11" s="19" t="s">
        <v>375</v>
      </c>
      <c r="B11" s="19" t="s">
        <v>373</v>
      </c>
      <c r="C11" s="163" t="s">
        <v>484</v>
      </c>
      <c r="D11" s="141" t="s">
        <v>485</v>
      </c>
      <c r="E11" s="141" t="s">
        <v>486</v>
      </c>
      <c r="F11" s="164" t="s">
        <v>487</v>
      </c>
      <c r="G11" s="141"/>
      <c r="H11" s="160" t="s">
        <v>497</v>
      </c>
      <c r="I11" s="142" t="s">
        <v>498</v>
      </c>
      <c r="J11" s="142" t="s">
        <v>499</v>
      </c>
      <c r="K11" s="141"/>
      <c r="L11" s="143" t="s">
        <v>500</v>
      </c>
      <c r="M11" s="143" t="s">
        <v>502</v>
      </c>
      <c r="N11" s="161" t="s">
        <v>501</v>
      </c>
      <c r="O11" s="141"/>
      <c r="P11" s="160" t="s">
        <v>494</v>
      </c>
      <c r="Q11" s="142" t="s">
        <v>495</v>
      </c>
      <c r="R11" s="142" t="s">
        <v>496</v>
      </c>
      <c r="S11" s="142" t="s">
        <v>412</v>
      </c>
      <c r="T11" s="161" t="s">
        <v>413</v>
      </c>
      <c r="U11" s="74"/>
      <c r="V11" s="52" t="s">
        <v>417</v>
      </c>
      <c r="W11" s="557"/>
      <c r="X11" s="46"/>
    </row>
    <row r="12" spans="1:26" x14ac:dyDescent="0.25">
      <c r="A12" s="913"/>
      <c r="B12" s="913"/>
      <c r="C12" s="570"/>
      <c r="D12" s="571"/>
      <c r="E12" s="571"/>
      <c r="F12" s="571"/>
      <c r="G12" s="572"/>
      <c r="H12" s="572"/>
      <c r="I12" s="572"/>
      <c r="J12" s="572"/>
      <c r="K12" s="572"/>
      <c r="L12" s="510"/>
      <c r="M12" s="510"/>
      <c r="N12" s="510"/>
      <c r="O12" s="152"/>
      <c r="P12" s="503"/>
      <c r="Q12" s="503"/>
      <c r="R12" s="503"/>
      <c r="S12" s="503"/>
      <c r="T12" s="546"/>
      <c r="U12" s="152"/>
      <c r="V12" s="153"/>
      <c r="W12" s="557"/>
      <c r="X12" s="46"/>
    </row>
    <row r="13" spans="1:26" x14ac:dyDescent="0.25">
      <c r="A13" s="914" t="s">
        <v>0</v>
      </c>
      <c r="B13" s="914" t="s">
        <v>3</v>
      </c>
      <c r="C13" s="131">
        <f>SUM(C14:C28)</f>
        <v>21961962</v>
      </c>
      <c r="D13" s="131">
        <f t="shared" ref="D13:J13" si="18">SUM(D14:D28)</f>
        <v>21961962</v>
      </c>
      <c r="E13" s="131">
        <f t="shared" si="18"/>
        <v>21961962</v>
      </c>
      <c r="F13" s="131">
        <f t="shared" si="18"/>
        <v>22536962</v>
      </c>
      <c r="G13" s="131"/>
      <c r="H13" s="131">
        <f t="shared" si="18"/>
        <v>10918777</v>
      </c>
      <c r="I13" s="131">
        <f t="shared" si="18"/>
        <v>16567111</v>
      </c>
      <c r="J13" s="131">
        <f t="shared" si="18"/>
        <v>22533469</v>
      </c>
      <c r="K13" s="590"/>
      <c r="L13" s="514">
        <f t="shared" ref="L13:L76" si="19">IF(C13=0,0,H13/C13)</f>
        <v>0.49716764831848814</v>
      </c>
      <c r="M13" s="514">
        <f t="shared" ref="M13:M76" si="20">IF(D13=0,0,I13/D13)</f>
        <v>0.75435477941360618</v>
      </c>
      <c r="N13" s="514">
        <f t="shared" ref="N13:N76" si="21">IF(E13=0,0,J13/E13)</f>
        <v>1.0260225839567521</v>
      </c>
      <c r="O13" s="565"/>
      <c r="P13" s="590">
        <f t="shared" ref="P13" si="22">+(D13-C13)*P$10</f>
        <v>0</v>
      </c>
      <c r="Q13" s="590">
        <f t="shared" ref="Q13" si="23">+(E13-D13)*Q$10</f>
        <v>0</v>
      </c>
      <c r="R13" s="590">
        <f t="shared" ref="R13" si="24">+(F13-E13)*R$10</f>
        <v>575000</v>
      </c>
      <c r="S13" s="590">
        <f>SUM(P13:R13)</f>
        <v>575000</v>
      </c>
      <c r="T13" s="925">
        <f t="shared" ref="T13" si="25">IF(C13=0,0,+S13/C13)</f>
        <v>2.6181631677534092E-2</v>
      </c>
      <c r="U13" s="565"/>
      <c r="V13" s="690">
        <f t="shared" ref="V13:V76" si="26">+S13-F13+C13</f>
        <v>0</v>
      </c>
      <c r="W13" s="557"/>
      <c r="X13" s="46"/>
    </row>
    <row r="14" spans="1:26" x14ac:dyDescent="0.25">
      <c r="A14" s="913" t="s">
        <v>1</v>
      </c>
      <c r="B14" s="913"/>
      <c r="C14" s="570"/>
      <c r="D14" s="132"/>
      <c r="E14" s="132"/>
      <c r="F14" s="132"/>
      <c r="G14" s="915"/>
      <c r="H14" s="588"/>
      <c r="I14" s="588"/>
      <c r="J14" s="588"/>
      <c r="K14" s="915"/>
      <c r="L14" s="518"/>
      <c r="M14" s="518"/>
      <c r="N14" s="518"/>
      <c r="O14" s="917"/>
      <c r="P14" s="915"/>
      <c r="Q14" s="915"/>
      <c r="R14" s="915"/>
      <c r="S14" s="915"/>
      <c r="T14" s="514"/>
      <c r="U14" s="917"/>
      <c r="V14" s="690">
        <f t="shared" si="26"/>
        <v>0</v>
      </c>
      <c r="W14" s="557"/>
      <c r="X14" s="46"/>
    </row>
    <row r="15" spans="1:26" x14ac:dyDescent="0.25">
      <c r="A15" s="913" t="s">
        <v>2</v>
      </c>
      <c r="B15" s="913" t="s">
        <v>364</v>
      </c>
      <c r="C15" s="570">
        <v>21231962</v>
      </c>
      <c r="D15" s="64">
        <v>19000000</v>
      </c>
      <c r="E15" s="64">
        <v>19000000</v>
      </c>
      <c r="F15" s="64">
        <v>20320000</v>
      </c>
      <c r="G15" s="572"/>
      <c r="H15" s="125">
        <v>9941508</v>
      </c>
      <c r="I15" s="125">
        <v>15096379</v>
      </c>
      <c r="J15" s="125">
        <v>20317282</v>
      </c>
      <c r="K15" s="572"/>
      <c r="L15" s="518">
        <f t="shared" si="19"/>
        <v>0.46823312890254798</v>
      </c>
      <c r="M15" s="518">
        <f t="shared" si="20"/>
        <v>0.79454626315789478</v>
      </c>
      <c r="N15" s="518">
        <f t="shared" si="21"/>
        <v>1.0693306315789475</v>
      </c>
      <c r="O15" s="152"/>
      <c r="P15" s="503">
        <f t="shared" ref="P15:P23" si="27">+(D15-C15)*P$10</f>
        <v>-2231962</v>
      </c>
      <c r="Q15" s="503">
        <f t="shared" ref="Q15:Q23" si="28">+(E15-D15)*Q$10</f>
        <v>0</v>
      </c>
      <c r="R15" s="503">
        <f t="shared" ref="R15:R23" si="29">+(F15-E15)*R$10</f>
        <v>1320000</v>
      </c>
      <c r="S15" s="503">
        <f>SUM(P15:R15)</f>
        <v>-911962</v>
      </c>
      <c r="T15" s="514">
        <f t="shared" ref="T15:T23" si="30">IF(C15=0,0,+S15/C15)</f>
        <v>-4.2952318772989516E-2</v>
      </c>
      <c r="U15" s="152"/>
      <c r="V15" s="690">
        <f t="shared" si="26"/>
        <v>0</v>
      </c>
      <c r="W15" s="557"/>
      <c r="X15" s="47"/>
      <c r="Y15" s="23"/>
    </row>
    <row r="16" spans="1:26" x14ac:dyDescent="0.25">
      <c r="A16" s="913" t="s">
        <v>13</v>
      </c>
      <c r="B16" s="913" t="s">
        <v>4</v>
      </c>
      <c r="C16" s="570">
        <v>0</v>
      </c>
      <c r="D16" s="64"/>
      <c r="E16" s="64"/>
      <c r="F16" s="64"/>
      <c r="G16" s="572"/>
      <c r="H16" s="125"/>
      <c r="I16" s="125"/>
      <c r="J16" s="125"/>
      <c r="K16" s="572"/>
      <c r="L16" s="518">
        <f t="shared" si="19"/>
        <v>0</v>
      </c>
      <c r="M16" s="518">
        <f t="shared" si="20"/>
        <v>0</v>
      </c>
      <c r="N16" s="518">
        <f t="shared" si="21"/>
        <v>0</v>
      </c>
      <c r="O16" s="152"/>
      <c r="P16" s="503">
        <f t="shared" si="27"/>
        <v>0</v>
      </c>
      <c r="Q16" s="503">
        <f t="shared" si="28"/>
        <v>0</v>
      </c>
      <c r="R16" s="503">
        <f t="shared" si="29"/>
        <v>0</v>
      </c>
      <c r="S16" s="503">
        <f t="shared" ref="S16:S32" si="31">SUM(P16:R16)</f>
        <v>0</v>
      </c>
      <c r="T16" s="514">
        <f t="shared" si="30"/>
        <v>0</v>
      </c>
      <c r="U16" s="152"/>
      <c r="V16" s="690">
        <f t="shared" si="26"/>
        <v>0</v>
      </c>
      <c r="W16" s="557"/>
      <c r="X16" s="46"/>
    </row>
    <row r="17" spans="1:26" x14ac:dyDescent="0.25">
      <c r="A17" s="913" t="s">
        <v>14</v>
      </c>
      <c r="B17" s="913" t="s">
        <v>385</v>
      </c>
      <c r="C17" s="64"/>
      <c r="D17" s="64"/>
      <c r="E17" s="64"/>
      <c r="F17" s="64"/>
      <c r="G17" s="572"/>
      <c r="H17" s="125"/>
      <c r="I17" s="125"/>
      <c r="J17" s="125"/>
      <c r="K17" s="572"/>
      <c r="L17" s="518">
        <f t="shared" si="19"/>
        <v>0</v>
      </c>
      <c r="M17" s="518">
        <f t="shared" si="20"/>
        <v>0</v>
      </c>
      <c r="N17" s="518">
        <f t="shared" si="21"/>
        <v>0</v>
      </c>
      <c r="O17" s="152"/>
      <c r="P17" s="503">
        <f t="shared" si="27"/>
        <v>0</v>
      </c>
      <c r="Q17" s="503">
        <f t="shared" si="28"/>
        <v>0</v>
      </c>
      <c r="R17" s="503">
        <f t="shared" si="29"/>
        <v>0</v>
      </c>
      <c r="S17" s="503">
        <f t="shared" si="31"/>
        <v>0</v>
      </c>
      <c r="T17" s="514">
        <f t="shared" si="30"/>
        <v>0</v>
      </c>
      <c r="U17" s="152"/>
      <c r="V17" s="690">
        <f t="shared" si="26"/>
        <v>0</v>
      </c>
      <c r="W17" s="557"/>
      <c r="X17" s="46"/>
    </row>
    <row r="18" spans="1:26" x14ac:dyDescent="0.25">
      <c r="A18" s="913" t="s">
        <v>389</v>
      </c>
      <c r="B18" s="913" t="s">
        <v>6</v>
      </c>
      <c r="C18" s="570">
        <v>0</v>
      </c>
      <c r="D18" s="64">
        <v>0</v>
      </c>
      <c r="E18" s="64">
        <v>0</v>
      </c>
      <c r="F18" s="64"/>
      <c r="G18" s="572"/>
      <c r="H18" s="125">
        <v>0</v>
      </c>
      <c r="I18" s="125">
        <v>0</v>
      </c>
      <c r="J18" s="125"/>
      <c r="K18" s="572"/>
      <c r="L18" s="518">
        <f t="shared" si="19"/>
        <v>0</v>
      </c>
      <c r="M18" s="518">
        <f t="shared" si="20"/>
        <v>0</v>
      </c>
      <c r="N18" s="518">
        <f t="shared" si="21"/>
        <v>0</v>
      </c>
      <c r="O18" s="152"/>
      <c r="P18" s="503">
        <f t="shared" si="27"/>
        <v>0</v>
      </c>
      <c r="Q18" s="503">
        <f t="shared" si="28"/>
        <v>0</v>
      </c>
      <c r="R18" s="503">
        <f t="shared" si="29"/>
        <v>0</v>
      </c>
      <c r="S18" s="503">
        <f t="shared" si="31"/>
        <v>0</v>
      </c>
      <c r="T18" s="514">
        <f t="shared" si="30"/>
        <v>0</v>
      </c>
      <c r="U18" s="152"/>
      <c r="V18" s="690">
        <f t="shared" si="26"/>
        <v>0</v>
      </c>
      <c r="W18" s="557"/>
      <c r="X18" s="46"/>
    </row>
    <row r="19" spans="1:26" x14ac:dyDescent="0.25">
      <c r="A19" s="913" t="s">
        <v>15</v>
      </c>
      <c r="B19" s="913" t="s">
        <v>7</v>
      </c>
      <c r="C19" s="166">
        <f>8*5000*12</f>
        <v>480000</v>
      </c>
      <c r="D19" s="166">
        <v>480000</v>
      </c>
      <c r="E19" s="166">
        <v>480000</v>
      </c>
      <c r="F19" s="64">
        <v>1080775</v>
      </c>
      <c r="G19" s="572"/>
      <c r="H19" s="125">
        <v>240000</v>
      </c>
      <c r="I19" s="125">
        <v>480000</v>
      </c>
      <c r="J19" s="125">
        <v>1080000</v>
      </c>
      <c r="K19" s="572"/>
      <c r="L19" s="518">
        <f t="shared" si="19"/>
        <v>0.5</v>
      </c>
      <c r="M19" s="518">
        <f t="shared" si="20"/>
        <v>1</v>
      </c>
      <c r="N19" s="518">
        <f t="shared" si="21"/>
        <v>2.25</v>
      </c>
      <c r="O19" s="152"/>
      <c r="P19" s="503">
        <f t="shared" si="27"/>
        <v>0</v>
      </c>
      <c r="Q19" s="503">
        <f t="shared" si="28"/>
        <v>0</v>
      </c>
      <c r="R19" s="503">
        <f t="shared" si="29"/>
        <v>600775</v>
      </c>
      <c r="S19" s="503">
        <f t="shared" si="31"/>
        <v>600775</v>
      </c>
      <c r="T19" s="514">
        <f t="shared" si="30"/>
        <v>1.2516145833333334</v>
      </c>
      <c r="U19" s="152"/>
      <c r="V19" s="690">
        <f t="shared" si="26"/>
        <v>0</v>
      </c>
      <c r="W19" s="557"/>
      <c r="X19" s="46"/>
    </row>
    <row r="20" spans="1:26" x14ac:dyDescent="0.25">
      <c r="A20" s="913" t="s">
        <v>16</v>
      </c>
      <c r="B20" s="913" t="s">
        <v>8</v>
      </c>
      <c r="C20" s="166"/>
      <c r="D20" s="166"/>
      <c r="E20" s="166"/>
      <c r="F20" s="64"/>
      <c r="G20" s="572"/>
      <c r="H20" s="125"/>
      <c r="I20" s="125"/>
      <c r="J20" s="125"/>
      <c r="K20" s="572"/>
      <c r="L20" s="518">
        <f t="shared" si="19"/>
        <v>0</v>
      </c>
      <c r="M20" s="518">
        <f t="shared" si="20"/>
        <v>0</v>
      </c>
      <c r="N20" s="518">
        <f t="shared" si="21"/>
        <v>0</v>
      </c>
      <c r="O20" s="152"/>
      <c r="P20" s="503">
        <f t="shared" si="27"/>
        <v>0</v>
      </c>
      <c r="Q20" s="503">
        <f t="shared" si="28"/>
        <v>0</v>
      </c>
      <c r="R20" s="503">
        <f t="shared" si="29"/>
        <v>0</v>
      </c>
      <c r="S20" s="503">
        <f t="shared" si="31"/>
        <v>0</v>
      </c>
      <c r="T20" s="514">
        <f t="shared" si="30"/>
        <v>0</v>
      </c>
      <c r="U20" s="152"/>
      <c r="V20" s="690">
        <f t="shared" si="26"/>
        <v>0</v>
      </c>
      <c r="W20" s="557"/>
      <c r="X20" s="46"/>
    </row>
    <row r="21" spans="1:26" x14ac:dyDescent="0.25">
      <c r="A21" s="913" t="s">
        <v>17</v>
      </c>
      <c r="B21" s="913" t="s">
        <v>9</v>
      </c>
      <c r="C21" s="166">
        <v>250000</v>
      </c>
      <c r="D21" s="166">
        <v>250000</v>
      </c>
      <c r="E21" s="166">
        <v>250000</v>
      </c>
      <c r="F21" s="64">
        <v>96616</v>
      </c>
      <c r="G21" s="572"/>
      <c r="H21" s="125">
        <v>32126</v>
      </c>
      <c r="I21" s="125">
        <v>58261</v>
      </c>
      <c r="J21" s="125">
        <v>96616</v>
      </c>
      <c r="K21" s="572"/>
      <c r="L21" s="518">
        <f t="shared" si="19"/>
        <v>0.12850400000000001</v>
      </c>
      <c r="M21" s="518">
        <f t="shared" si="20"/>
        <v>0.233044</v>
      </c>
      <c r="N21" s="518">
        <f t="shared" si="21"/>
        <v>0.38646399999999997</v>
      </c>
      <c r="O21" s="152"/>
      <c r="P21" s="503">
        <f t="shared" si="27"/>
        <v>0</v>
      </c>
      <c r="Q21" s="503">
        <f t="shared" si="28"/>
        <v>0</v>
      </c>
      <c r="R21" s="503">
        <f t="shared" si="29"/>
        <v>-153384</v>
      </c>
      <c r="S21" s="503">
        <f t="shared" si="31"/>
        <v>-153384</v>
      </c>
      <c r="T21" s="514">
        <f t="shared" si="30"/>
        <v>-0.61353599999999997</v>
      </c>
      <c r="U21" s="152"/>
      <c r="V21" s="690">
        <f t="shared" si="26"/>
        <v>0</v>
      </c>
      <c r="W21" s="557"/>
      <c r="X21" s="46"/>
    </row>
    <row r="22" spans="1:26" x14ac:dyDescent="0.25">
      <c r="A22" s="913" t="s">
        <v>18</v>
      </c>
      <c r="B22" s="913" t="s">
        <v>10</v>
      </c>
      <c r="C22" s="166">
        <v>0</v>
      </c>
      <c r="D22" s="166">
        <v>0</v>
      </c>
      <c r="E22" s="166">
        <v>0</v>
      </c>
      <c r="F22" s="64"/>
      <c r="G22" s="572"/>
      <c r="H22" s="125"/>
      <c r="I22" s="125">
        <v>0</v>
      </c>
      <c r="J22" s="125"/>
      <c r="K22" s="572"/>
      <c r="L22" s="518">
        <f t="shared" si="19"/>
        <v>0</v>
      </c>
      <c r="M22" s="518">
        <f t="shared" si="20"/>
        <v>0</v>
      </c>
      <c r="N22" s="518">
        <f t="shared" si="21"/>
        <v>0</v>
      </c>
      <c r="O22" s="152"/>
      <c r="P22" s="503">
        <f t="shared" si="27"/>
        <v>0</v>
      </c>
      <c r="Q22" s="503">
        <f t="shared" si="28"/>
        <v>0</v>
      </c>
      <c r="R22" s="503">
        <f t="shared" si="29"/>
        <v>0</v>
      </c>
      <c r="S22" s="503">
        <f t="shared" si="31"/>
        <v>0</v>
      </c>
      <c r="T22" s="514">
        <f t="shared" si="30"/>
        <v>0</v>
      </c>
      <c r="U22" s="152"/>
      <c r="V22" s="690">
        <f t="shared" si="26"/>
        <v>0</v>
      </c>
      <c r="W22" s="557"/>
      <c r="X22" s="46"/>
    </row>
    <row r="23" spans="1:26" x14ac:dyDescent="0.25">
      <c r="A23" s="913" t="s">
        <v>19</v>
      </c>
      <c r="B23" s="913" t="s">
        <v>11</v>
      </c>
      <c r="C23" s="166">
        <v>0</v>
      </c>
      <c r="D23" s="166">
        <v>2231962</v>
      </c>
      <c r="E23" s="166">
        <v>2231962</v>
      </c>
      <c r="F23" s="64">
        <v>1039571</v>
      </c>
      <c r="G23" s="572"/>
      <c r="H23" s="125">
        <v>705143</v>
      </c>
      <c r="I23" s="125">
        <v>932471</v>
      </c>
      <c r="J23" s="125">
        <v>1039571</v>
      </c>
      <c r="K23" s="572"/>
      <c r="L23" s="518">
        <f t="shared" si="19"/>
        <v>0</v>
      </c>
      <c r="M23" s="518">
        <f t="shared" si="20"/>
        <v>0.41778085827626099</v>
      </c>
      <c r="N23" s="518">
        <f t="shared" si="21"/>
        <v>0.46576554618761429</v>
      </c>
      <c r="O23" s="152"/>
      <c r="P23" s="503">
        <f t="shared" si="27"/>
        <v>2231962</v>
      </c>
      <c r="Q23" s="503">
        <f t="shared" si="28"/>
        <v>0</v>
      </c>
      <c r="R23" s="503">
        <f t="shared" si="29"/>
        <v>-1192391</v>
      </c>
      <c r="S23" s="503">
        <f t="shared" si="31"/>
        <v>1039571</v>
      </c>
      <c r="T23" s="514">
        <f t="shared" si="30"/>
        <v>0</v>
      </c>
      <c r="U23" s="152"/>
      <c r="V23" s="690">
        <f t="shared" si="26"/>
        <v>0</v>
      </c>
      <c r="W23" s="557"/>
      <c r="X23" s="46"/>
    </row>
    <row r="24" spans="1:26" x14ac:dyDescent="0.25">
      <c r="A24" s="913" t="s">
        <v>20</v>
      </c>
      <c r="B24" s="913"/>
      <c r="C24" s="166"/>
      <c r="D24" s="166"/>
      <c r="E24" s="166"/>
      <c r="F24" s="64"/>
      <c r="G24" s="572"/>
      <c r="H24" s="125"/>
      <c r="I24" s="125"/>
      <c r="J24" s="125"/>
      <c r="K24" s="572"/>
      <c r="L24" s="518">
        <f t="shared" si="19"/>
        <v>0</v>
      </c>
      <c r="M24" s="518">
        <f t="shared" si="20"/>
        <v>0</v>
      </c>
      <c r="N24" s="518">
        <f t="shared" si="21"/>
        <v>0</v>
      </c>
      <c r="O24" s="152"/>
      <c r="P24" s="503"/>
      <c r="Q24" s="503"/>
      <c r="R24" s="503"/>
      <c r="S24" s="503"/>
      <c r="T24" s="514"/>
      <c r="U24" s="152"/>
      <c r="V24" s="690">
        <f t="shared" si="26"/>
        <v>0</v>
      </c>
      <c r="W24" s="557"/>
      <c r="X24" s="46"/>
    </row>
    <row r="25" spans="1:26" x14ac:dyDescent="0.25">
      <c r="A25" s="913" t="s">
        <v>21</v>
      </c>
      <c r="B25" s="913" t="s">
        <v>22</v>
      </c>
      <c r="C25" s="166"/>
      <c r="D25" s="166"/>
      <c r="E25" s="166"/>
      <c r="F25" s="64"/>
      <c r="G25" s="572"/>
      <c r="H25" s="125"/>
      <c r="I25" s="125"/>
      <c r="J25" s="125"/>
      <c r="K25" s="572"/>
      <c r="L25" s="518">
        <f t="shared" si="19"/>
        <v>0</v>
      </c>
      <c r="M25" s="518">
        <f t="shared" si="20"/>
        <v>0</v>
      </c>
      <c r="N25" s="518">
        <f t="shared" si="21"/>
        <v>0</v>
      </c>
      <c r="O25" s="152"/>
      <c r="P25" s="503">
        <f t="shared" ref="P25:R27" si="32">+(D25-C25)*P$10</f>
        <v>0</v>
      </c>
      <c r="Q25" s="503">
        <f t="shared" si="32"/>
        <v>0</v>
      </c>
      <c r="R25" s="503">
        <f t="shared" si="32"/>
        <v>0</v>
      </c>
      <c r="S25" s="503">
        <f t="shared" si="31"/>
        <v>0</v>
      </c>
      <c r="T25" s="514">
        <f>IF(C25=0,0,+S25/C25)</f>
        <v>0</v>
      </c>
      <c r="U25" s="152"/>
      <c r="V25" s="690">
        <f t="shared" si="26"/>
        <v>0</v>
      </c>
      <c r="W25" s="557"/>
      <c r="X25" s="46"/>
    </row>
    <row r="26" spans="1:26" x14ac:dyDescent="0.25">
      <c r="A26" s="913" t="s">
        <v>23</v>
      </c>
      <c r="B26" s="913" t="s">
        <v>24</v>
      </c>
      <c r="C26" s="166"/>
      <c r="D26" s="166"/>
      <c r="E26" s="166"/>
      <c r="F26" s="64"/>
      <c r="G26" s="572"/>
      <c r="H26" s="125">
        <v>0</v>
      </c>
      <c r="I26" s="125">
        <v>0</v>
      </c>
      <c r="J26" s="125"/>
      <c r="K26" s="572"/>
      <c r="L26" s="518">
        <f t="shared" si="19"/>
        <v>0</v>
      </c>
      <c r="M26" s="518">
        <f t="shared" si="20"/>
        <v>0</v>
      </c>
      <c r="N26" s="518">
        <f t="shared" si="21"/>
        <v>0</v>
      </c>
      <c r="O26" s="152"/>
      <c r="P26" s="503">
        <f t="shared" si="32"/>
        <v>0</v>
      </c>
      <c r="Q26" s="503">
        <f t="shared" si="32"/>
        <v>0</v>
      </c>
      <c r="R26" s="503">
        <f t="shared" si="32"/>
        <v>0</v>
      </c>
      <c r="S26" s="503">
        <f t="shared" si="31"/>
        <v>0</v>
      </c>
      <c r="T26" s="514">
        <f>IF(C26=0,0,+S26/C26)</f>
        <v>0</v>
      </c>
      <c r="U26" s="152"/>
      <c r="V26" s="690">
        <f t="shared" si="26"/>
        <v>0</v>
      </c>
      <c r="W26" s="557"/>
      <c r="X26" s="46"/>
    </row>
    <row r="27" spans="1:26" x14ac:dyDescent="0.25">
      <c r="A27" s="913" t="s">
        <v>25</v>
      </c>
      <c r="B27" s="913" t="s">
        <v>26</v>
      </c>
      <c r="C27" s="570"/>
      <c r="D27" s="64"/>
      <c r="E27" s="64"/>
      <c r="F27" s="64"/>
      <c r="G27" s="572"/>
      <c r="H27" s="125"/>
      <c r="I27" s="125"/>
      <c r="J27" s="125"/>
      <c r="K27" s="572"/>
      <c r="L27" s="518">
        <f t="shared" si="19"/>
        <v>0</v>
      </c>
      <c r="M27" s="518">
        <f t="shared" si="20"/>
        <v>0</v>
      </c>
      <c r="N27" s="518">
        <f t="shared" si="21"/>
        <v>0</v>
      </c>
      <c r="O27" s="152"/>
      <c r="P27" s="503">
        <f t="shared" si="32"/>
        <v>0</v>
      </c>
      <c r="Q27" s="503">
        <f t="shared" si="32"/>
        <v>0</v>
      </c>
      <c r="R27" s="503">
        <f t="shared" si="32"/>
        <v>0</v>
      </c>
      <c r="S27" s="503">
        <f t="shared" si="31"/>
        <v>0</v>
      </c>
      <c r="T27" s="514">
        <f>IF(C27=0,0,+S27/C27)</f>
        <v>0</v>
      </c>
      <c r="U27" s="152"/>
      <c r="V27" s="690">
        <f t="shared" si="26"/>
        <v>0</v>
      </c>
      <c r="W27" s="557"/>
      <c r="X27" s="46"/>
    </row>
    <row r="28" spans="1:26" x14ac:dyDescent="0.25">
      <c r="A28" s="533"/>
      <c r="B28" s="527"/>
      <c r="C28" s="570"/>
      <c r="D28" s="64"/>
      <c r="E28" s="64"/>
      <c r="F28" s="64"/>
      <c r="G28" s="572"/>
      <c r="H28" s="125"/>
      <c r="I28" s="125"/>
      <c r="J28" s="125"/>
      <c r="K28" s="572"/>
      <c r="L28" s="518"/>
      <c r="M28" s="518"/>
      <c r="N28" s="518"/>
      <c r="O28" s="917"/>
      <c r="P28" s="503"/>
      <c r="Q28" s="503"/>
      <c r="R28" s="503"/>
      <c r="S28" s="503"/>
      <c r="T28" s="514"/>
      <c r="U28" s="917"/>
      <c r="V28" s="690">
        <f t="shared" si="26"/>
        <v>0</v>
      </c>
      <c r="W28" s="557"/>
      <c r="X28" s="46"/>
    </row>
    <row r="29" spans="1:26" x14ac:dyDescent="0.25">
      <c r="A29" s="513" t="s">
        <v>27</v>
      </c>
      <c r="B29" s="513" t="s">
        <v>28</v>
      </c>
      <c r="C29" s="131">
        <f>SUM(C30:C31)</f>
        <v>4340000</v>
      </c>
      <c r="D29" s="131">
        <f t="shared" ref="D29:F29" si="33">SUM(D30:D31)</f>
        <v>4340000</v>
      </c>
      <c r="E29" s="131">
        <f t="shared" si="33"/>
        <v>4340000</v>
      </c>
      <c r="F29" s="131">
        <f t="shared" si="33"/>
        <v>4620000</v>
      </c>
      <c r="G29" s="590"/>
      <c r="H29" s="131">
        <f t="shared" ref="H29" si="34">SUM(H30:H31)</f>
        <v>2416631</v>
      </c>
      <c r="I29" s="131">
        <f t="shared" ref="I29" si="35">SUM(I30:I31)</f>
        <v>3566100</v>
      </c>
      <c r="J29" s="131">
        <f t="shared" ref="J29" si="36">SUM(J30:J31)</f>
        <v>4616322</v>
      </c>
      <c r="K29" s="590"/>
      <c r="L29" s="514">
        <f t="shared" si="19"/>
        <v>0.5568274193548387</v>
      </c>
      <c r="M29" s="514">
        <f t="shared" si="20"/>
        <v>0.82168202764976961</v>
      </c>
      <c r="N29" s="514">
        <f t="shared" si="21"/>
        <v>1.0636686635944701</v>
      </c>
      <c r="O29" s="565"/>
      <c r="P29" s="590">
        <f t="shared" ref="P29:R30" si="37">+(D29-C29)*P$10</f>
        <v>0</v>
      </c>
      <c r="Q29" s="590">
        <f t="shared" si="37"/>
        <v>0</v>
      </c>
      <c r="R29" s="590">
        <f t="shared" si="37"/>
        <v>280000</v>
      </c>
      <c r="S29" s="590">
        <f t="shared" si="31"/>
        <v>280000</v>
      </c>
      <c r="T29" s="926">
        <f>IF(C29=0,0,+S29/C29)</f>
        <v>6.4516129032258063E-2</v>
      </c>
      <c r="U29" s="565"/>
      <c r="V29" s="690">
        <f t="shared" si="26"/>
        <v>0</v>
      </c>
      <c r="W29" s="557"/>
      <c r="X29" s="46"/>
      <c r="Y29" s="2"/>
      <c r="Z29" s="2"/>
    </row>
    <row r="30" spans="1:26" x14ac:dyDescent="0.25">
      <c r="A30" s="533"/>
      <c r="B30" s="533" t="s">
        <v>29</v>
      </c>
      <c r="C30" s="583">
        <v>4340000</v>
      </c>
      <c r="D30" s="583">
        <v>4340000</v>
      </c>
      <c r="E30" s="583">
        <v>4340000</v>
      </c>
      <c r="F30" s="583">
        <v>4620000</v>
      </c>
      <c r="G30" s="918"/>
      <c r="H30" s="918">
        <v>2416631</v>
      </c>
      <c r="I30" s="918">
        <v>3566100</v>
      </c>
      <c r="J30" s="918">
        <v>4616322</v>
      </c>
      <c r="K30" s="572"/>
      <c r="L30" s="518">
        <f t="shared" si="19"/>
        <v>0.5568274193548387</v>
      </c>
      <c r="M30" s="518">
        <f t="shared" si="20"/>
        <v>0.82168202764976961</v>
      </c>
      <c r="N30" s="518">
        <f t="shared" si="21"/>
        <v>1.0636686635944701</v>
      </c>
      <c r="O30" s="152"/>
      <c r="P30" s="503">
        <f t="shared" si="37"/>
        <v>0</v>
      </c>
      <c r="Q30" s="503">
        <f t="shared" si="37"/>
        <v>0</v>
      </c>
      <c r="R30" s="503">
        <f t="shared" si="37"/>
        <v>280000</v>
      </c>
      <c r="S30" s="503">
        <f t="shared" si="31"/>
        <v>280000</v>
      </c>
      <c r="T30" s="514">
        <f>IF(C30=0,0,+S30/C30)</f>
        <v>6.4516129032258063E-2</v>
      </c>
      <c r="U30" s="152"/>
      <c r="V30" s="690">
        <f t="shared" si="26"/>
        <v>0</v>
      </c>
      <c r="W30" s="557"/>
      <c r="X30" s="46"/>
      <c r="Y30" s="32"/>
    </row>
    <row r="31" spans="1:26" x14ac:dyDescent="0.25">
      <c r="A31" s="533"/>
      <c r="B31" s="527"/>
      <c r="C31" s="64"/>
      <c r="D31" s="571"/>
      <c r="E31" s="571"/>
      <c r="F31" s="571"/>
      <c r="G31" s="572"/>
      <c r="H31" s="572"/>
      <c r="I31" s="572"/>
      <c r="J31" s="572"/>
      <c r="K31" s="572"/>
      <c r="L31" s="518"/>
      <c r="M31" s="518"/>
      <c r="N31" s="518"/>
      <c r="O31" s="917"/>
      <c r="P31" s="503"/>
      <c r="Q31" s="503"/>
      <c r="R31" s="503"/>
      <c r="S31" s="503"/>
      <c r="T31" s="514"/>
      <c r="U31" s="917"/>
      <c r="V31" s="690">
        <f t="shared" si="26"/>
        <v>0</v>
      </c>
      <c r="W31" s="557"/>
      <c r="X31" s="46"/>
    </row>
    <row r="32" spans="1:26" x14ac:dyDescent="0.25">
      <c r="A32" s="513" t="s">
        <v>30</v>
      </c>
      <c r="B32" s="513" t="s">
        <v>31</v>
      </c>
      <c r="C32" s="131">
        <f>+C33+C41+C48+C66+C71</f>
        <v>10796000</v>
      </c>
      <c r="D32" s="131">
        <f>+D33+D41+D48+D66+D71</f>
        <v>10796000</v>
      </c>
      <c r="E32" s="131">
        <f>+E33+E41+E48+E66+E71</f>
        <v>10756000</v>
      </c>
      <c r="F32" s="131">
        <f>+F33+F41+F48+F66+F71</f>
        <v>9901000</v>
      </c>
      <c r="G32" s="131"/>
      <c r="H32" s="131">
        <f>+H33+H41+H48+H66+H71</f>
        <v>5083396</v>
      </c>
      <c r="I32" s="131">
        <f>+I33+I41+I48+I66+I71</f>
        <v>6329879</v>
      </c>
      <c r="J32" s="131">
        <f>+J33+J41+J48+J66+J71</f>
        <v>8572565</v>
      </c>
      <c r="K32" s="131"/>
      <c r="L32" s="514">
        <f t="shared" si="19"/>
        <v>0.47085920711374585</v>
      </c>
      <c r="M32" s="514">
        <f t="shared" si="20"/>
        <v>0.5863170618747684</v>
      </c>
      <c r="N32" s="514">
        <f t="shared" si="21"/>
        <v>0.79700306805503907</v>
      </c>
      <c r="O32" s="909"/>
      <c r="P32" s="131">
        <f t="shared" ref="P32:P63" si="38">+(D32-C32)*P$10</f>
        <v>0</v>
      </c>
      <c r="Q32" s="131">
        <f t="shared" ref="Q32:Q63" si="39">+(E32-D32)*Q$10</f>
        <v>-40000</v>
      </c>
      <c r="R32" s="131">
        <f t="shared" ref="R32:R63" si="40">+(F32-E32)*R$10</f>
        <v>-855000</v>
      </c>
      <c r="S32" s="131">
        <f t="shared" si="31"/>
        <v>-895000</v>
      </c>
      <c r="T32" s="925">
        <f t="shared" ref="T32:T63" si="41">IF(C32=0,0,+S32/C32)</f>
        <v>-8.2901074472026673E-2</v>
      </c>
      <c r="U32" s="565"/>
      <c r="V32" s="690">
        <f t="shared" si="26"/>
        <v>0</v>
      </c>
      <c r="W32" s="557"/>
      <c r="X32" s="46"/>
    </row>
    <row r="33" spans="1:25" s="26" customFormat="1" x14ac:dyDescent="0.25">
      <c r="A33" s="516" t="s">
        <v>32</v>
      </c>
      <c r="B33" s="516" t="s">
        <v>33</v>
      </c>
      <c r="C33" s="167">
        <f t="shared" ref="C33:F33" si="42">SUM(C34:C40)</f>
        <v>400000</v>
      </c>
      <c r="D33" s="167">
        <f t="shared" si="42"/>
        <v>340000</v>
      </c>
      <c r="E33" s="167">
        <f t="shared" si="42"/>
        <v>340000</v>
      </c>
      <c r="F33" s="167">
        <f t="shared" si="42"/>
        <v>450000</v>
      </c>
      <c r="G33" s="167"/>
      <c r="H33" s="167">
        <f>SUM(H34:H40)</f>
        <v>186771</v>
      </c>
      <c r="I33" s="167">
        <f t="shared" ref="I33:J33" si="43">SUM(I34:I40)</f>
        <v>272077</v>
      </c>
      <c r="J33" s="167">
        <f t="shared" si="43"/>
        <v>440097</v>
      </c>
      <c r="K33" s="167"/>
      <c r="L33" s="522">
        <f t="shared" si="19"/>
        <v>0.4669275</v>
      </c>
      <c r="M33" s="522">
        <f t="shared" si="20"/>
        <v>0.80022647058823526</v>
      </c>
      <c r="N33" s="522">
        <f t="shared" si="21"/>
        <v>1.2944029411764706</v>
      </c>
      <c r="O33" s="919"/>
      <c r="P33" s="503">
        <f t="shared" si="38"/>
        <v>-60000</v>
      </c>
      <c r="Q33" s="503">
        <f t="shared" si="39"/>
        <v>0</v>
      </c>
      <c r="R33" s="503">
        <f t="shared" si="40"/>
        <v>110000</v>
      </c>
      <c r="S33" s="503">
        <f t="shared" ref="S33:S89" si="44">SUM(P33:R33)</f>
        <v>50000</v>
      </c>
      <c r="T33" s="514">
        <f t="shared" si="41"/>
        <v>0.125</v>
      </c>
      <c r="U33" s="920"/>
      <c r="V33" s="690">
        <f t="shared" si="26"/>
        <v>0</v>
      </c>
      <c r="W33" s="921"/>
      <c r="X33" s="50"/>
    </row>
    <row r="34" spans="1:25" x14ac:dyDescent="0.25">
      <c r="A34" s="533" t="s">
        <v>34</v>
      </c>
      <c r="B34" s="533" t="s">
        <v>36</v>
      </c>
      <c r="C34" s="166">
        <v>50000</v>
      </c>
      <c r="D34" s="166">
        <v>50000</v>
      </c>
      <c r="E34" s="166">
        <v>50000</v>
      </c>
      <c r="F34" s="64">
        <v>50000</v>
      </c>
      <c r="G34" s="125"/>
      <c r="H34" s="125">
        <v>41732</v>
      </c>
      <c r="I34" s="125">
        <v>41732</v>
      </c>
      <c r="J34" s="125">
        <v>41732</v>
      </c>
      <c r="K34" s="125"/>
      <c r="L34" s="518">
        <f t="shared" si="19"/>
        <v>0.83464000000000005</v>
      </c>
      <c r="M34" s="518">
        <f t="shared" si="20"/>
        <v>0.83464000000000005</v>
      </c>
      <c r="N34" s="518">
        <f t="shared" si="21"/>
        <v>0.83464000000000005</v>
      </c>
      <c r="O34" s="152"/>
      <c r="P34" s="503">
        <f t="shared" si="38"/>
        <v>0</v>
      </c>
      <c r="Q34" s="503">
        <f t="shared" si="39"/>
        <v>0</v>
      </c>
      <c r="R34" s="503">
        <f t="shared" si="40"/>
        <v>0</v>
      </c>
      <c r="S34" s="503">
        <f t="shared" si="44"/>
        <v>0</v>
      </c>
      <c r="T34" s="514">
        <f t="shared" si="41"/>
        <v>0</v>
      </c>
      <c r="U34" s="152"/>
      <c r="V34" s="690">
        <f t="shared" si="26"/>
        <v>0</v>
      </c>
      <c r="W34" s="557"/>
      <c r="X34" s="46"/>
    </row>
    <row r="35" spans="1:25" x14ac:dyDescent="0.25">
      <c r="A35" s="533"/>
      <c r="B35" s="533" t="s">
        <v>90</v>
      </c>
      <c r="C35" s="166"/>
      <c r="D35" s="166"/>
      <c r="E35" s="166"/>
      <c r="F35" s="64"/>
      <c r="G35" s="125"/>
      <c r="H35" s="125"/>
      <c r="I35" s="125"/>
      <c r="J35" s="125"/>
      <c r="K35" s="125"/>
      <c r="L35" s="518">
        <f t="shared" si="19"/>
        <v>0</v>
      </c>
      <c r="M35" s="518">
        <f t="shared" si="20"/>
        <v>0</v>
      </c>
      <c r="N35" s="518">
        <f t="shared" si="21"/>
        <v>0</v>
      </c>
      <c r="O35" s="917"/>
      <c r="P35" s="503">
        <f t="shared" si="38"/>
        <v>0</v>
      </c>
      <c r="Q35" s="503">
        <f t="shared" si="39"/>
        <v>0</v>
      </c>
      <c r="R35" s="503">
        <f t="shared" si="40"/>
        <v>0</v>
      </c>
      <c r="S35" s="503">
        <f t="shared" si="44"/>
        <v>0</v>
      </c>
      <c r="T35" s="514">
        <f t="shared" si="41"/>
        <v>0</v>
      </c>
      <c r="U35" s="917"/>
      <c r="V35" s="690">
        <f t="shared" si="26"/>
        <v>0</v>
      </c>
      <c r="W35" s="557"/>
      <c r="X35" s="46"/>
    </row>
    <row r="36" spans="1:25" x14ac:dyDescent="0.25">
      <c r="A36" s="533" t="s">
        <v>35</v>
      </c>
      <c r="B36" s="533" t="s">
        <v>37</v>
      </c>
      <c r="C36" s="166">
        <v>350000</v>
      </c>
      <c r="D36" s="166">
        <v>290000</v>
      </c>
      <c r="E36" s="166">
        <v>290000</v>
      </c>
      <c r="F36" s="64">
        <v>400000</v>
      </c>
      <c r="G36" s="125"/>
      <c r="H36" s="125">
        <v>145039</v>
      </c>
      <c r="I36" s="125">
        <v>230345</v>
      </c>
      <c r="J36" s="125">
        <v>398365</v>
      </c>
      <c r="K36" s="125"/>
      <c r="L36" s="518">
        <f t="shared" si="19"/>
        <v>0.41439714285714285</v>
      </c>
      <c r="M36" s="518">
        <f t="shared" si="20"/>
        <v>0.79429310344827586</v>
      </c>
      <c r="N36" s="518">
        <f t="shared" si="21"/>
        <v>1.3736724137931033</v>
      </c>
      <c r="O36" s="152"/>
      <c r="P36" s="503">
        <f t="shared" si="38"/>
        <v>-60000</v>
      </c>
      <c r="Q36" s="503">
        <f t="shared" si="39"/>
        <v>0</v>
      </c>
      <c r="R36" s="503">
        <f t="shared" si="40"/>
        <v>110000</v>
      </c>
      <c r="S36" s="503">
        <f t="shared" si="44"/>
        <v>50000</v>
      </c>
      <c r="T36" s="514">
        <f t="shared" si="41"/>
        <v>0.14285714285714285</v>
      </c>
      <c r="U36" s="152"/>
      <c r="V36" s="690">
        <f t="shared" si="26"/>
        <v>0</v>
      </c>
      <c r="W36" s="557"/>
      <c r="X36" s="46"/>
    </row>
    <row r="37" spans="1:25" x14ac:dyDescent="0.25">
      <c r="A37" s="533"/>
      <c r="B37" s="533" t="s">
        <v>97</v>
      </c>
      <c r="C37" s="166"/>
      <c r="D37" s="166"/>
      <c r="E37" s="166"/>
      <c r="F37" s="64"/>
      <c r="G37" s="125"/>
      <c r="H37" s="125"/>
      <c r="I37" s="125"/>
      <c r="J37" s="125"/>
      <c r="K37" s="125"/>
      <c r="L37" s="518">
        <f t="shared" si="19"/>
        <v>0</v>
      </c>
      <c r="M37" s="518">
        <f t="shared" si="20"/>
        <v>0</v>
      </c>
      <c r="N37" s="518">
        <f t="shared" si="21"/>
        <v>0</v>
      </c>
      <c r="O37" s="917"/>
      <c r="P37" s="503">
        <f t="shared" si="38"/>
        <v>0</v>
      </c>
      <c r="Q37" s="503">
        <f t="shared" si="39"/>
        <v>0</v>
      </c>
      <c r="R37" s="503">
        <f t="shared" si="40"/>
        <v>0</v>
      </c>
      <c r="S37" s="503">
        <f t="shared" si="44"/>
        <v>0</v>
      </c>
      <c r="T37" s="514">
        <f t="shared" si="41"/>
        <v>0</v>
      </c>
      <c r="U37" s="917"/>
      <c r="V37" s="690">
        <f t="shared" si="26"/>
        <v>0</v>
      </c>
      <c r="W37" s="557"/>
      <c r="X37" s="46"/>
    </row>
    <row r="38" spans="1:25" x14ac:dyDescent="0.25">
      <c r="A38" s="533"/>
      <c r="B38" s="533" t="s">
        <v>96</v>
      </c>
      <c r="C38" s="166"/>
      <c r="D38" s="166"/>
      <c r="E38" s="166"/>
      <c r="F38" s="64"/>
      <c r="G38" s="125"/>
      <c r="H38" s="125"/>
      <c r="I38" s="125"/>
      <c r="J38" s="125"/>
      <c r="K38" s="125"/>
      <c r="L38" s="518">
        <f t="shared" si="19"/>
        <v>0</v>
      </c>
      <c r="M38" s="518">
        <f t="shared" si="20"/>
        <v>0</v>
      </c>
      <c r="N38" s="518">
        <f t="shared" si="21"/>
        <v>0</v>
      </c>
      <c r="O38" s="917"/>
      <c r="P38" s="503">
        <f t="shared" si="38"/>
        <v>0</v>
      </c>
      <c r="Q38" s="503">
        <f t="shared" si="39"/>
        <v>0</v>
      </c>
      <c r="R38" s="503">
        <f t="shared" si="40"/>
        <v>0</v>
      </c>
      <c r="S38" s="503">
        <f t="shared" si="44"/>
        <v>0</v>
      </c>
      <c r="T38" s="514">
        <f t="shared" si="41"/>
        <v>0</v>
      </c>
      <c r="U38" s="917"/>
      <c r="V38" s="690">
        <f t="shared" si="26"/>
        <v>0</v>
      </c>
      <c r="W38" s="557"/>
      <c r="X38" s="46"/>
    </row>
    <row r="39" spans="1:25" x14ac:dyDescent="0.25">
      <c r="A39" s="533"/>
      <c r="B39" s="533" t="s">
        <v>95</v>
      </c>
      <c r="C39" s="166"/>
      <c r="D39" s="166"/>
      <c r="E39" s="166"/>
      <c r="F39" s="64"/>
      <c r="G39" s="125"/>
      <c r="H39" s="125"/>
      <c r="I39" s="125"/>
      <c r="J39" s="125"/>
      <c r="K39" s="125"/>
      <c r="L39" s="518">
        <f t="shared" si="19"/>
        <v>0</v>
      </c>
      <c r="M39" s="518">
        <f t="shared" si="20"/>
        <v>0</v>
      </c>
      <c r="N39" s="518">
        <f t="shared" si="21"/>
        <v>0</v>
      </c>
      <c r="O39" s="917"/>
      <c r="P39" s="503">
        <f t="shared" si="38"/>
        <v>0</v>
      </c>
      <c r="Q39" s="503">
        <f t="shared" si="39"/>
        <v>0</v>
      </c>
      <c r="R39" s="503">
        <f t="shared" si="40"/>
        <v>0</v>
      </c>
      <c r="S39" s="503">
        <f t="shared" si="44"/>
        <v>0</v>
      </c>
      <c r="T39" s="514">
        <f t="shared" si="41"/>
        <v>0</v>
      </c>
      <c r="U39" s="917"/>
      <c r="V39" s="690">
        <f t="shared" si="26"/>
        <v>0</v>
      </c>
      <c r="W39" s="557"/>
      <c r="X39" s="46"/>
    </row>
    <row r="40" spans="1:25" x14ac:dyDescent="0.25">
      <c r="A40" s="533"/>
      <c r="B40" s="533" t="s">
        <v>94</v>
      </c>
      <c r="C40" s="166">
        <v>0</v>
      </c>
      <c r="D40" s="166">
        <v>0</v>
      </c>
      <c r="E40" s="166">
        <v>0</v>
      </c>
      <c r="F40" s="64"/>
      <c r="G40" s="125"/>
      <c r="H40" s="125">
        <v>0</v>
      </c>
      <c r="I40" s="125">
        <v>0</v>
      </c>
      <c r="J40" s="125"/>
      <c r="K40" s="125"/>
      <c r="L40" s="518">
        <f t="shared" si="19"/>
        <v>0</v>
      </c>
      <c r="M40" s="518">
        <f t="shared" si="20"/>
        <v>0</v>
      </c>
      <c r="N40" s="518">
        <f t="shared" si="21"/>
        <v>0</v>
      </c>
      <c r="O40" s="152"/>
      <c r="P40" s="503">
        <f t="shared" si="38"/>
        <v>0</v>
      </c>
      <c r="Q40" s="503">
        <f t="shared" si="39"/>
        <v>0</v>
      </c>
      <c r="R40" s="503">
        <f t="shared" si="40"/>
        <v>0</v>
      </c>
      <c r="S40" s="503">
        <f t="shared" si="44"/>
        <v>0</v>
      </c>
      <c r="T40" s="514">
        <f t="shared" si="41"/>
        <v>0</v>
      </c>
      <c r="U40" s="152"/>
      <c r="V40" s="690">
        <f t="shared" si="26"/>
        <v>0</v>
      </c>
      <c r="W40" s="557"/>
      <c r="X40" s="46"/>
    </row>
    <row r="41" spans="1:25" s="26" customFormat="1" x14ac:dyDescent="0.25">
      <c r="A41" s="516" t="s">
        <v>38</v>
      </c>
      <c r="B41" s="516" t="s">
        <v>39</v>
      </c>
      <c r="C41" s="167">
        <f>SUM(C42:C47)</f>
        <v>180000</v>
      </c>
      <c r="D41" s="167">
        <f t="shared" ref="D41:F41" si="45">SUM(D42:D47)</f>
        <v>180000</v>
      </c>
      <c r="E41" s="167">
        <f t="shared" si="45"/>
        <v>180000</v>
      </c>
      <c r="F41" s="167">
        <f t="shared" si="45"/>
        <v>180000</v>
      </c>
      <c r="G41" s="167"/>
      <c r="H41" s="167">
        <f t="shared" ref="H41" si="46">SUM(H42:H47)</f>
        <v>84940</v>
      </c>
      <c r="I41" s="167">
        <f t="shared" ref="I41" si="47">SUM(I42:I47)</f>
        <v>120841</v>
      </c>
      <c r="J41" s="167">
        <f t="shared" ref="J41" si="48">SUM(J42:J47)</f>
        <v>157369</v>
      </c>
      <c r="K41" s="167"/>
      <c r="L41" s="522">
        <f t="shared" si="19"/>
        <v>0.47188888888888891</v>
      </c>
      <c r="M41" s="522">
        <f t="shared" si="20"/>
        <v>0.67133888888888893</v>
      </c>
      <c r="N41" s="522">
        <f t="shared" si="21"/>
        <v>0.87427222222222223</v>
      </c>
      <c r="O41" s="920"/>
      <c r="P41" s="503">
        <f t="shared" si="38"/>
        <v>0</v>
      </c>
      <c r="Q41" s="503">
        <f t="shared" si="39"/>
        <v>0</v>
      </c>
      <c r="R41" s="503">
        <f t="shared" si="40"/>
        <v>0</v>
      </c>
      <c r="S41" s="503">
        <f t="shared" si="44"/>
        <v>0</v>
      </c>
      <c r="T41" s="514">
        <f t="shared" si="41"/>
        <v>0</v>
      </c>
      <c r="U41" s="920"/>
      <c r="V41" s="690">
        <f t="shared" si="26"/>
        <v>0</v>
      </c>
      <c r="W41" s="921"/>
      <c r="X41" s="50"/>
    </row>
    <row r="42" spans="1:25" x14ac:dyDescent="0.25">
      <c r="A42" s="533" t="s">
        <v>40</v>
      </c>
      <c r="B42" s="533" t="s">
        <v>41</v>
      </c>
      <c r="C42" s="64">
        <v>80000</v>
      </c>
      <c r="D42" s="64">
        <v>80000</v>
      </c>
      <c r="E42" s="166">
        <v>80000</v>
      </c>
      <c r="F42" s="64">
        <v>80000</v>
      </c>
      <c r="G42" s="125"/>
      <c r="H42" s="125">
        <v>39000</v>
      </c>
      <c r="I42" s="125">
        <v>58500</v>
      </c>
      <c r="J42" s="125">
        <v>78000</v>
      </c>
      <c r="K42" s="125"/>
      <c r="L42" s="518">
        <f t="shared" si="19"/>
        <v>0.48749999999999999</v>
      </c>
      <c r="M42" s="518">
        <f t="shared" si="20"/>
        <v>0.73124999999999996</v>
      </c>
      <c r="N42" s="518">
        <f t="shared" si="21"/>
        <v>0.97499999999999998</v>
      </c>
      <c r="O42" s="152"/>
      <c r="P42" s="503">
        <f t="shared" si="38"/>
        <v>0</v>
      </c>
      <c r="Q42" s="503">
        <f t="shared" si="39"/>
        <v>0</v>
      </c>
      <c r="R42" s="503">
        <f t="shared" si="40"/>
        <v>0</v>
      </c>
      <c r="S42" s="503">
        <f t="shared" si="44"/>
        <v>0</v>
      </c>
      <c r="T42" s="514">
        <f t="shared" si="41"/>
        <v>0</v>
      </c>
      <c r="U42" s="152"/>
      <c r="V42" s="690">
        <f t="shared" si="26"/>
        <v>0</v>
      </c>
      <c r="W42" s="557"/>
      <c r="X42" s="46"/>
      <c r="Y42" s="2"/>
    </row>
    <row r="43" spans="1:25" ht="14.25" customHeight="1" x14ac:dyDescent="0.25">
      <c r="A43" s="533"/>
      <c r="B43" s="533" t="s">
        <v>42</v>
      </c>
      <c r="C43" s="64"/>
      <c r="D43" s="64"/>
      <c r="E43" s="64"/>
      <c r="F43" s="64"/>
      <c r="G43" s="125"/>
      <c r="H43" s="125"/>
      <c r="I43" s="125"/>
      <c r="J43" s="125"/>
      <c r="K43" s="125"/>
      <c r="L43" s="518">
        <f t="shared" si="19"/>
        <v>0</v>
      </c>
      <c r="M43" s="518">
        <f t="shared" si="20"/>
        <v>0</v>
      </c>
      <c r="N43" s="518">
        <f t="shared" si="21"/>
        <v>0</v>
      </c>
      <c r="O43" s="917"/>
      <c r="P43" s="503">
        <f t="shared" si="38"/>
        <v>0</v>
      </c>
      <c r="Q43" s="503">
        <f t="shared" si="39"/>
        <v>0</v>
      </c>
      <c r="R43" s="503">
        <f t="shared" si="40"/>
        <v>0</v>
      </c>
      <c r="S43" s="503">
        <f t="shared" si="44"/>
        <v>0</v>
      </c>
      <c r="T43" s="514">
        <f t="shared" si="41"/>
        <v>0</v>
      </c>
      <c r="U43" s="917"/>
      <c r="V43" s="690">
        <f t="shared" si="26"/>
        <v>0</v>
      </c>
      <c r="W43" s="557"/>
      <c r="X43" s="46"/>
    </row>
    <row r="44" spans="1:25" ht="15.75" customHeight="1" x14ac:dyDescent="0.25">
      <c r="A44" s="533"/>
      <c r="B44" s="533" t="s">
        <v>43</v>
      </c>
      <c r="C44" s="64"/>
      <c r="D44" s="64"/>
      <c r="E44" s="64"/>
      <c r="F44" s="64"/>
      <c r="G44" s="125"/>
      <c r="H44" s="125"/>
      <c r="I44" s="125"/>
      <c r="J44" s="125"/>
      <c r="K44" s="125"/>
      <c r="L44" s="518">
        <f t="shared" si="19"/>
        <v>0</v>
      </c>
      <c r="M44" s="518">
        <f t="shared" si="20"/>
        <v>0</v>
      </c>
      <c r="N44" s="518">
        <f t="shared" si="21"/>
        <v>0</v>
      </c>
      <c r="O44" s="917"/>
      <c r="P44" s="503">
        <f t="shared" si="38"/>
        <v>0</v>
      </c>
      <c r="Q44" s="503">
        <f t="shared" si="39"/>
        <v>0</v>
      </c>
      <c r="R44" s="503">
        <f t="shared" si="40"/>
        <v>0</v>
      </c>
      <c r="S44" s="503">
        <f t="shared" si="44"/>
        <v>0</v>
      </c>
      <c r="T44" s="514">
        <f t="shared" si="41"/>
        <v>0</v>
      </c>
      <c r="U44" s="917"/>
      <c r="V44" s="690">
        <f t="shared" si="26"/>
        <v>0</v>
      </c>
      <c r="W44" s="557"/>
      <c r="X44" s="46"/>
    </row>
    <row r="45" spans="1:25" x14ac:dyDescent="0.25">
      <c r="A45" s="533"/>
      <c r="B45" s="533" t="s">
        <v>44</v>
      </c>
      <c r="C45" s="64"/>
      <c r="D45" s="64"/>
      <c r="E45" s="64"/>
      <c r="F45" s="64"/>
      <c r="G45" s="125"/>
      <c r="H45" s="125"/>
      <c r="I45" s="125"/>
      <c r="J45" s="125"/>
      <c r="K45" s="125"/>
      <c r="L45" s="518">
        <f t="shared" si="19"/>
        <v>0</v>
      </c>
      <c r="M45" s="518">
        <f t="shared" si="20"/>
        <v>0</v>
      </c>
      <c r="N45" s="518">
        <f t="shared" si="21"/>
        <v>0</v>
      </c>
      <c r="O45" s="917"/>
      <c r="P45" s="503">
        <f t="shared" si="38"/>
        <v>0</v>
      </c>
      <c r="Q45" s="503">
        <f t="shared" si="39"/>
        <v>0</v>
      </c>
      <c r="R45" s="503">
        <f t="shared" si="40"/>
        <v>0</v>
      </c>
      <c r="S45" s="503">
        <f t="shared" si="44"/>
        <v>0</v>
      </c>
      <c r="T45" s="514">
        <f t="shared" si="41"/>
        <v>0</v>
      </c>
      <c r="U45" s="917"/>
      <c r="V45" s="690">
        <f t="shared" si="26"/>
        <v>0</v>
      </c>
      <c r="W45" s="557"/>
      <c r="X45" s="46"/>
    </row>
    <row r="46" spans="1:25" x14ac:dyDescent="0.25">
      <c r="A46" s="533" t="s">
        <v>45</v>
      </c>
      <c r="B46" s="533" t="s">
        <v>46</v>
      </c>
      <c r="C46" s="64">
        <v>100000</v>
      </c>
      <c r="D46" s="64">
        <v>100000</v>
      </c>
      <c r="E46" s="166">
        <v>100000</v>
      </c>
      <c r="F46" s="64">
        <v>100000</v>
      </c>
      <c r="G46" s="125"/>
      <c r="H46" s="125">
        <v>45940</v>
      </c>
      <c r="I46" s="125">
        <v>62341</v>
      </c>
      <c r="J46" s="125">
        <v>79369</v>
      </c>
      <c r="K46" s="125"/>
      <c r="L46" s="518">
        <f t="shared" si="19"/>
        <v>0.45939999999999998</v>
      </c>
      <c r="M46" s="518">
        <f t="shared" si="20"/>
        <v>0.62341000000000002</v>
      </c>
      <c r="N46" s="518">
        <f t="shared" si="21"/>
        <v>0.79369000000000001</v>
      </c>
      <c r="O46" s="152"/>
      <c r="P46" s="503">
        <f t="shared" si="38"/>
        <v>0</v>
      </c>
      <c r="Q46" s="503">
        <f t="shared" si="39"/>
        <v>0</v>
      </c>
      <c r="R46" s="503">
        <f t="shared" si="40"/>
        <v>0</v>
      </c>
      <c r="S46" s="503">
        <f t="shared" si="44"/>
        <v>0</v>
      </c>
      <c r="T46" s="514">
        <f t="shared" si="41"/>
        <v>0</v>
      </c>
      <c r="U46" s="152"/>
      <c r="V46" s="690">
        <f t="shared" si="26"/>
        <v>0</v>
      </c>
      <c r="W46" s="557"/>
      <c r="X46" s="46"/>
    </row>
    <row r="47" spans="1:25" ht="15.75" customHeight="1" x14ac:dyDescent="0.25">
      <c r="A47" s="533"/>
      <c r="B47" s="533" t="s">
        <v>47</v>
      </c>
      <c r="C47" s="64"/>
      <c r="D47" s="64"/>
      <c r="E47" s="64"/>
      <c r="F47" s="64"/>
      <c r="G47" s="125"/>
      <c r="H47" s="125"/>
      <c r="I47" s="125"/>
      <c r="J47" s="125"/>
      <c r="K47" s="125"/>
      <c r="L47" s="518">
        <f t="shared" si="19"/>
        <v>0</v>
      </c>
      <c r="M47" s="518">
        <f t="shared" si="20"/>
        <v>0</v>
      </c>
      <c r="N47" s="518">
        <f t="shared" si="21"/>
        <v>0</v>
      </c>
      <c r="O47" s="917"/>
      <c r="P47" s="503">
        <f t="shared" si="38"/>
        <v>0</v>
      </c>
      <c r="Q47" s="503">
        <f t="shared" si="39"/>
        <v>0</v>
      </c>
      <c r="R47" s="503">
        <f t="shared" si="40"/>
        <v>0</v>
      </c>
      <c r="S47" s="503">
        <f t="shared" si="44"/>
        <v>0</v>
      </c>
      <c r="T47" s="514">
        <f t="shared" si="41"/>
        <v>0</v>
      </c>
      <c r="U47" s="917"/>
      <c r="V47" s="690">
        <f t="shared" si="26"/>
        <v>0</v>
      </c>
      <c r="W47" s="557"/>
      <c r="X47" s="46"/>
    </row>
    <row r="48" spans="1:25" s="26" customFormat="1" x14ac:dyDescent="0.25">
      <c r="A48" s="516" t="s">
        <v>48</v>
      </c>
      <c r="B48" s="516" t="s">
        <v>49</v>
      </c>
      <c r="C48" s="167">
        <f>SUM(C49:C65)</f>
        <v>6664000</v>
      </c>
      <c r="D48" s="167">
        <f t="shared" ref="D48:F48" si="49">SUM(D49:D65)</f>
        <v>6749000</v>
      </c>
      <c r="E48" s="167">
        <f t="shared" si="49"/>
        <v>6709000</v>
      </c>
      <c r="F48" s="167">
        <f t="shared" si="49"/>
        <v>5508200</v>
      </c>
      <c r="G48" s="167"/>
      <c r="H48" s="167">
        <f t="shared" ref="H48" si="50">SUM(H49:H65)</f>
        <v>3043674</v>
      </c>
      <c r="I48" s="167">
        <f t="shared" ref="I48" si="51">SUM(I49:I65)</f>
        <v>3603933</v>
      </c>
      <c r="J48" s="167">
        <f t="shared" ref="J48" si="52">SUM(J49:J65)</f>
        <v>4806537</v>
      </c>
      <c r="K48" s="167"/>
      <c r="L48" s="522">
        <f t="shared" si="19"/>
        <v>0.45673379351740695</v>
      </c>
      <c r="M48" s="522">
        <f t="shared" si="20"/>
        <v>0.53399511038672398</v>
      </c>
      <c r="N48" s="522">
        <f t="shared" si="21"/>
        <v>0.71643121180503799</v>
      </c>
      <c r="O48" s="920"/>
      <c r="P48" s="503">
        <f t="shared" si="38"/>
        <v>85000</v>
      </c>
      <c r="Q48" s="503">
        <f t="shared" si="39"/>
        <v>-40000</v>
      </c>
      <c r="R48" s="503">
        <f t="shared" si="40"/>
        <v>-1200800</v>
      </c>
      <c r="S48" s="503">
        <f t="shared" si="44"/>
        <v>-1155800</v>
      </c>
      <c r="T48" s="514">
        <f t="shared" si="41"/>
        <v>-0.17343937575030011</v>
      </c>
      <c r="U48" s="920"/>
      <c r="V48" s="690">
        <f t="shared" si="26"/>
        <v>0</v>
      </c>
      <c r="W48" s="921"/>
      <c r="X48" s="50"/>
    </row>
    <row r="49" spans="1:25" x14ac:dyDescent="0.25">
      <c r="A49" s="533" t="s">
        <v>50</v>
      </c>
      <c r="B49" s="922" t="s">
        <v>51</v>
      </c>
      <c r="C49" s="64">
        <v>800000</v>
      </c>
      <c r="D49" s="64">
        <v>885000</v>
      </c>
      <c r="E49" s="64">
        <v>935000</v>
      </c>
      <c r="F49" s="64">
        <v>935000</v>
      </c>
      <c r="G49" s="125"/>
      <c r="H49" s="125">
        <v>790509</v>
      </c>
      <c r="I49" s="125">
        <v>421619</v>
      </c>
      <c r="J49" s="125">
        <v>665508</v>
      </c>
      <c r="K49" s="125"/>
      <c r="L49" s="518">
        <f t="shared" si="19"/>
        <v>0.98813625000000005</v>
      </c>
      <c r="M49" s="518">
        <f t="shared" si="20"/>
        <v>0.47640564971751415</v>
      </c>
      <c r="N49" s="518">
        <f t="shared" si="21"/>
        <v>0.71177326203208557</v>
      </c>
      <c r="O49" s="152"/>
      <c r="P49" s="503">
        <f t="shared" si="38"/>
        <v>85000</v>
      </c>
      <c r="Q49" s="503">
        <f t="shared" si="39"/>
        <v>50000</v>
      </c>
      <c r="R49" s="503">
        <f t="shared" si="40"/>
        <v>0</v>
      </c>
      <c r="S49" s="503">
        <f t="shared" si="44"/>
        <v>135000</v>
      </c>
      <c r="T49" s="514">
        <f t="shared" si="41"/>
        <v>0.16875000000000001</v>
      </c>
      <c r="U49" s="152"/>
      <c r="V49" s="690">
        <f t="shared" si="26"/>
        <v>0</v>
      </c>
      <c r="W49" s="557"/>
      <c r="X49" s="46"/>
    </row>
    <row r="50" spans="1:25" x14ac:dyDescent="0.25">
      <c r="A50" s="533" t="s">
        <v>104</v>
      </c>
      <c r="B50" s="533" t="s">
        <v>98</v>
      </c>
      <c r="C50" s="64"/>
      <c r="D50" s="64"/>
      <c r="E50" s="64"/>
      <c r="F50" s="64"/>
      <c r="G50" s="125"/>
      <c r="H50" s="125"/>
      <c r="I50" s="125"/>
      <c r="J50" s="125"/>
      <c r="K50" s="125"/>
      <c r="L50" s="518">
        <f t="shared" si="19"/>
        <v>0</v>
      </c>
      <c r="M50" s="518">
        <f t="shared" si="20"/>
        <v>0</v>
      </c>
      <c r="N50" s="518">
        <f t="shared" si="21"/>
        <v>0</v>
      </c>
      <c r="O50" s="917"/>
      <c r="P50" s="503">
        <f t="shared" si="38"/>
        <v>0</v>
      </c>
      <c r="Q50" s="503">
        <f t="shared" si="39"/>
        <v>0</v>
      </c>
      <c r="R50" s="503">
        <f t="shared" si="40"/>
        <v>0</v>
      </c>
      <c r="S50" s="503">
        <f t="shared" si="44"/>
        <v>0</v>
      </c>
      <c r="T50" s="514">
        <f t="shared" si="41"/>
        <v>0</v>
      </c>
      <c r="U50" s="917"/>
      <c r="V50" s="690">
        <f t="shared" si="26"/>
        <v>0</v>
      </c>
      <c r="W50" s="557"/>
      <c r="X50" s="46"/>
    </row>
    <row r="51" spans="1:25" x14ac:dyDescent="0.25">
      <c r="A51" s="533"/>
      <c r="B51" s="533" t="s">
        <v>99</v>
      </c>
      <c r="C51" s="64"/>
      <c r="D51" s="64"/>
      <c r="E51" s="64"/>
      <c r="F51" s="64"/>
      <c r="G51" s="125"/>
      <c r="H51" s="125"/>
      <c r="I51" s="125"/>
      <c r="J51" s="125"/>
      <c r="K51" s="125"/>
      <c r="L51" s="518">
        <f t="shared" si="19"/>
        <v>0</v>
      </c>
      <c r="M51" s="518">
        <f t="shared" si="20"/>
        <v>0</v>
      </c>
      <c r="N51" s="518">
        <f t="shared" si="21"/>
        <v>0</v>
      </c>
      <c r="O51" s="917"/>
      <c r="P51" s="503">
        <f t="shared" si="38"/>
        <v>0</v>
      </c>
      <c r="Q51" s="503">
        <f t="shared" si="39"/>
        <v>0</v>
      </c>
      <c r="R51" s="503">
        <f t="shared" si="40"/>
        <v>0</v>
      </c>
      <c r="S51" s="503">
        <f t="shared" si="44"/>
        <v>0</v>
      </c>
      <c r="T51" s="514">
        <f t="shared" si="41"/>
        <v>0</v>
      </c>
      <c r="U51" s="917"/>
      <c r="V51" s="690">
        <f t="shared" si="26"/>
        <v>0</v>
      </c>
      <c r="W51" s="557"/>
      <c r="X51" s="46"/>
    </row>
    <row r="52" spans="1:25" x14ac:dyDescent="0.25">
      <c r="A52" s="533"/>
      <c r="B52" s="533" t="s">
        <v>100</v>
      </c>
      <c r="C52" s="64"/>
      <c r="D52" s="64"/>
      <c r="E52" s="64"/>
      <c r="F52" s="64"/>
      <c r="G52" s="125"/>
      <c r="H52" s="125"/>
      <c r="I52" s="125"/>
      <c r="J52" s="125"/>
      <c r="K52" s="125"/>
      <c r="L52" s="518">
        <f t="shared" si="19"/>
        <v>0</v>
      </c>
      <c r="M52" s="518">
        <f t="shared" si="20"/>
        <v>0</v>
      </c>
      <c r="N52" s="518">
        <f t="shared" si="21"/>
        <v>0</v>
      </c>
      <c r="O52" s="917"/>
      <c r="P52" s="503">
        <f t="shared" si="38"/>
        <v>0</v>
      </c>
      <c r="Q52" s="503">
        <f t="shared" si="39"/>
        <v>0</v>
      </c>
      <c r="R52" s="503">
        <f t="shared" si="40"/>
        <v>0</v>
      </c>
      <c r="S52" s="503">
        <f t="shared" si="44"/>
        <v>0</v>
      </c>
      <c r="T52" s="514">
        <f t="shared" si="41"/>
        <v>0</v>
      </c>
      <c r="U52" s="917"/>
      <c r="V52" s="690">
        <f t="shared" si="26"/>
        <v>0</v>
      </c>
      <c r="W52" s="557"/>
      <c r="X52" s="46"/>
    </row>
    <row r="53" spans="1:25" x14ac:dyDescent="0.25">
      <c r="A53" s="533" t="s">
        <v>52</v>
      </c>
      <c r="B53" s="533" t="s">
        <v>53</v>
      </c>
      <c r="C53" s="64">
        <v>5600000</v>
      </c>
      <c r="D53" s="64">
        <v>5600000</v>
      </c>
      <c r="E53" s="166">
        <v>5550000</v>
      </c>
      <c r="F53" s="64">
        <v>4370000</v>
      </c>
      <c r="G53" s="125"/>
      <c r="H53" s="125">
        <v>2138516</v>
      </c>
      <c r="I53" s="125">
        <v>3030299</v>
      </c>
      <c r="J53" s="125">
        <v>3947717</v>
      </c>
      <c r="K53" s="125"/>
      <c r="L53" s="518">
        <f t="shared" si="19"/>
        <v>0.38187785714285716</v>
      </c>
      <c r="M53" s="518">
        <f t="shared" si="20"/>
        <v>0.54112482142857143</v>
      </c>
      <c r="N53" s="518">
        <f t="shared" si="21"/>
        <v>0.71130036036036037</v>
      </c>
      <c r="O53" s="152"/>
      <c r="P53" s="503">
        <f t="shared" si="38"/>
        <v>0</v>
      </c>
      <c r="Q53" s="503">
        <f t="shared" si="39"/>
        <v>-50000</v>
      </c>
      <c r="R53" s="503">
        <f t="shared" si="40"/>
        <v>-1180000</v>
      </c>
      <c r="S53" s="503">
        <f t="shared" si="44"/>
        <v>-1230000</v>
      </c>
      <c r="T53" s="514">
        <f t="shared" si="41"/>
        <v>-0.21964285714285714</v>
      </c>
      <c r="U53" s="152"/>
      <c r="V53" s="690">
        <f t="shared" si="26"/>
        <v>0</v>
      </c>
      <c r="W53" s="557"/>
      <c r="X53" s="46"/>
    </row>
    <row r="54" spans="1:25" x14ac:dyDescent="0.25">
      <c r="A54" s="533"/>
      <c r="B54" s="533" t="s">
        <v>91</v>
      </c>
      <c r="C54" s="64"/>
      <c r="D54" s="64"/>
      <c r="E54" s="64"/>
      <c r="F54" s="64"/>
      <c r="G54" s="125"/>
      <c r="H54" s="125"/>
      <c r="I54" s="125"/>
      <c r="J54" s="125"/>
      <c r="K54" s="125"/>
      <c r="L54" s="518">
        <f t="shared" si="19"/>
        <v>0</v>
      </c>
      <c r="M54" s="518">
        <f t="shared" si="20"/>
        <v>0</v>
      </c>
      <c r="N54" s="518">
        <f t="shared" si="21"/>
        <v>0</v>
      </c>
      <c r="O54" s="917"/>
      <c r="P54" s="503">
        <f t="shared" si="38"/>
        <v>0</v>
      </c>
      <c r="Q54" s="503">
        <f t="shared" si="39"/>
        <v>0</v>
      </c>
      <c r="R54" s="503">
        <f t="shared" si="40"/>
        <v>0</v>
      </c>
      <c r="S54" s="503">
        <f t="shared" si="44"/>
        <v>0</v>
      </c>
      <c r="T54" s="514">
        <f t="shared" si="41"/>
        <v>0</v>
      </c>
      <c r="U54" s="917"/>
      <c r="V54" s="690">
        <f t="shared" si="26"/>
        <v>0</v>
      </c>
      <c r="W54" s="557"/>
      <c r="X54" s="46"/>
    </row>
    <row r="55" spans="1:25" x14ac:dyDescent="0.25">
      <c r="A55" s="533"/>
      <c r="B55" s="533" t="s">
        <v>54</v>
      </c>
      <c r="C55" s="64"/>
      <c r="D55" s="64"/>
      <c r="E55" s="64"/>
      <c r="F55" s="64"/>
      <c r="G55" s="125"/>
      <c r="H55" s="125"/>
      <c r="I55" s="125"/>
      <c r="J55" s="125"/>
      <c r="K55" s="125"/>
      <c r="L55" s="518">
        <f t="shared" si="19"/>
        <v>0</v>
      </c>
      <c r="M55" s="518">
        <f t="shared" si="20"/>
        <v>0</v>
      </c>
      <c r="N55" s="518">
        <f t="shared" si="21"/>
        <v>0</v>
      </c>
      <c r="O55" s="917"/>
      <c r="P55" s="503">
        <f t="shared" si="38"/>
        <v>0</v>
      </c>
      <c r="Q55" s="503">
        <f t="shared" si="39"/>
        <v>0</v>
      </c>
      <c r="R55" s="503">
        <f t="shared" si="40"/>
        <v>0</v>
      </c>
      <c r="S55" s="503">
        <f t="shared" si="44"/>
        <v>0</v>
      </c>
      <c r="T55" s="514">
        <f t="shared" si="41"/>
        <v>0</v>
      </c>
      <c r="U55" s="917"/>
      <c r="V55" s="690">
        <f t="shared" si="26"/>
        <v>0</v>
      </c>
      <c r="W55" s="557"/>
      <c r="X55" s="46"/>
    </row>
    <row r="56" spans="1:25" x14ac:dyDescent="0.25">
      <c r="A56" s="533" t="s">
        <v>55</v>
      </c>
      <c r="B56" s="533" t="s">
        <v>56</v>
      </c>
      <c r="C56" s="64"/>
      <c r="D56" s="64"/>
      <c r="E56" s="64"/>
      <c r="F56" s="64"/>
      <c r="G56" s="125"/>
      <c r="H56" s="125"/>
      <c r="I56" s="125"/>
      <c r="J56" s="125"/>
      <c r="K56" s="125"/>
      <c r="L56" s="518">
        <f t="shared" si="19"/>
        <v>0</v>
      </c>
      <c r="M56" s="518">
        <f t="shared" si="20"/>
        <v>0</v>
      </c>
      <c r="N56" s="518">
        <f t="shared" si="21"/>
        <v>0</v>
      </c>
      <c r="O56" s="917"/>
      <c r="P56" s="503">
        <f t="shared" si="38"/>
        <v>0</v>
      </c>
      <c r="Q56" s="503">
        <f t="shared" si="39"/>
        <v>0</v>
      </c>
      <c r="R56" s="503">
        <f t="shared" si="40"/>
        <v>0</v>
      </c>
      <c r="S56" s="503">
        <f t="shared" si="44"/>
        <v>0</v>
      </c>
      <c r="T56" s="514">
        <f t="shared" si="41"/>
        <v>0</v>
      </c>
      <c r="U56" s="917"/>
      <c r="V56" s="690">
        <f t="shared" si="26"/>
        <v>0</v>
      </c>
      <c r="W56" s="557"/>
      <c r="X56" s="46"/>
    </row>
    <row r="57" spans="1:25" x14ac:dyDescent="0.25">
      <c r="A57" s="533"/>
      <c r="B57" s="533" t="s">
        <v>57</v>
      </c>
      <c r="C57" s="64"/>
      <c r="D57" s="64"/>
      <c r="E57" s="64"/>
      <c r="F57" s="64"/>
      <c r="G57" s="125"/>
      <c r="H57" s="125"/>
      <c r="I57" s="125"/>
      <c r="J57" s="125"/>
      <c r="K57" s="125"/>
      <c r="L57" s="518">
        <f t="shared" si="19"/>
        <v>0</v>
      </c>
      <c r="M57" s="518">
        <f t="shared" si="20"/>
        <v>0</v>
      </c>
      <c r="N57" s="518">
        <f t="shared" si="21"/>
        <v>0</v>
      </c>
      <c r="O57" s="917"/>
      <c r="P57" s="503">
        <f t="shared" si="38"/>
        <v>0</v>
      </c>
      <c r="Q57" s="503">
        <f t="shared" si="39"/>
        <v>0</v>
      </c>
      <c r="R57" s="503">
        <f t="shared" si="40"/>
        <v>0</v>
      </c>
      <c r="S57" s="503">
        <f t="shared" si="44"/>
        <v>0</v>
      </c>
      <c r="T57" s="514">
        <f t="shared" si="41"/>
        <v>0</v>
      </c>
      <c r="U57" s="917"/>
      <c r="V57" s="690">
        <f t="shared" si="26"/>
        <v>0</v>
      </c>
      <c r="W57" s="557"/>
      <c r="X57" s="46"/>
    </row>
    <row r="58" spans="1:25" x14ac:dyDescent="0.25">
      <c r="A58" s="533" t="s">
        <v>58</v>
      </c>
      <c r="B58" s="533" t="s">
        <v>92</v>
      </c>
      <c r="C58" s="64">
        <v>40000</v>
      </c>
      <c r="D58" s="64">
        <v>40000</v>
      </c>
      <c r="E58" s="64">
        <v>0</v>
      </c>
      <c r="F58" s="64">
        <v>0</v>
      </c>
      <c r="G58" s="125"/>
      <c r="H58" s="125">
        <v>0</v>
      </c>
      <c r="I58" s="125">
        <v>0</v>
      </c>
      <c r="J58" s="125"/>
      <c r="K58" s="125"/>
      <c r="L58" s="518">
        <f t="shared" si="19"/>
        <v>0</v>
      </c>
      <c r="M58" s="518">
        <f t="shared" si="20"/>
        <v>0</v>
      </c>
      <c r="N58" s="518">
        <f t="shared" si="21"/>
        <v>0</v>
      </c>
      <c r="O58" s="152"/>
      <c r="P58" s="503">
        <f t="shared" si="38"/>
        <v>0</v>
      </c>
      <c r="Q58" s="503">
        <f t="shared" si="39"/>
        <v>-40000</v>
      </c>
      <c r="R58" s="503">
        <f t="shared" si="40"/>
        <v>0</v>
      </c>
      <c r="S58" s="503">
        <f t="shared" si="44"/>
        <v>-40000</v>
      </c>
      <c r="T58" s="514">
        <f t="shared" si="41"/>
        <v>-1</v>
      </c>
      <c r="U58" s="152"/>
      <c r="V58" s="690">
        <f t="shared" si="26"/>
        <v>0</v>
      </c>
      <c r="W58" s="557"/>
      <c r="X58" s="46"/>
    </row>
    <row r="59" spans="1:25" x14ac:dyDescent="0.25">
      <c r="A59" s="533"/>
      <c r="B59" s="533" t="s">
        <v>59</v>
      </c>
      <c r="C59" s="64"/>
      <c r="D59" s="64"/>
      <c r="E59" s="64"/>
      <c r="F59" s="64"/>
      <c r="G59" s="125"/>
      <c r="H59" s="125"/>
      <c r="I59" s="125"/>
      <c r="J59" s="125"/>
      <c r="K59" s="125"/>
      <c r="L59" s="518">
        <f t="shared" si="19"/>
        <v>0</v>
      </c>
      <c r="M59" s="518">
        <f t="shared" si="20"/>
        <v>0</v>
      </c>
      <c r="N59" s="518">
        <f t="shared" si="21"/>
        <v>0</v>
      </c>
      <c r="O59" s="917"/>
      <c r="P59" s="503">
        <f t="shared" si="38"/>
        <v>0</v>
      </c>
      <c r="Q59" s="503">
        <f t="shared" si="39"/>
        <v>0</v>
      </c>
      <c r="R59" s="503">
        <f t="shared" si="40"/>
        <v>0</v>
      </c>
      <c r="S59" s="503">
        <f t="shared" si="44"/>
        <v>0</v>
      </c>
      <c r="T59" s="514">
        <f t="shared" si="41"/>
        <v>0</v>
      </c>
      <c r="U59" s="917"/>
      <c r="V59" s="690">
        <f t="shared" si="26"/>
        <v>0</v>
      </c>
      <c r="W59" s="557"/>
      <c r="X59" s="46"/>
    </row>
    <row r="60" spans="1:25" x14ac:dyDescent="0.25">
      <c r="A60" s="533" t="s">
        <v>60</v>
      </c>
      <c r="B60" s="533" t="s">
        <v>61</v>
      </c>
      <c r="C60" s="64"/>
      <c r="D60" s="64"/>
      <c r="E60" s="64"/>
      <c r="F60" s="64">
        <v>0</v>
      </c>
      <c r="G60" s="125"/>
      <c r="H60" s="125"/>
      <c r="I60" s="125"/>
      <c r="J60" s="125"/>
      <c r="K60" s="125"/>
      <c r="L60" s="518">
        <f t="shared" si="19"/>
        <v>0</v>
      </c>
      <c r="M60" s="518">
        <f t="shared" si="20"/>
        <v>0</v>
      </c>
      <c r="N60" s="518">
        <f t="shared" si="21"/>
        <v>0</v>
      </c>
      <c r="O60" s="917"/>
      <c r="P60" s="503">
        <f t="shared" si="38"/>
        <v>0</v>
      </c>
      <c r="Q60" s="503">
        <f t="shared" si="39"/>
        <v>0</v>
      </c>
      <c r="R60" s="503">
        <f t="shared" si="40"/>
        <v>0</v>
      </c>
      <c r="S60" s="503">
        <f t="shared" si="44"/>
        <v>0</v>
      </c>
      <c r="T60" s="514">
        <f t="shared" si="41"/>
        <v>0</v>
      </c>
      <c r="U60" s="917"/>
      <c r="V60" s="690">
        <f t="shared" si="26"/>
        <v>0</v>
      </c>
      <c r="W60" s="557"/>
      <c r="X60" s="46"/>
    </row>
    <row r="61" spans="1:25" ht="26.4" x14ac:dyDescent="0.25">
      <c r="A61" s="533"/>
      <c r="B61" s="533" t="s">
        <v>62</v>
      </c>
      <c r="C61" s="64"/>
      <c r="D61" s="64"/>
      <c r="E61" s="64"/>
      <c r="F61" s="64"/>
      <c r="G61" s="125"/>
      <c r="H61" s="125"/>
      <c r="I61" s="125"/>
      <c r="J61" s="125"/>
      <c r="K61" s="125"/>
      <c r="L61" s="518">
        <f t="shared" si="19"/>
        <v>0</v>
      </c>
      <c r="M61" s="518">
        <f t="shared" si="20"/>
        <v>0</v>
      </c>
      <c r="N61" s="518">
        <f t="shared" si="21"/>
        <v>0</v>
      </c>
      <c r="O61" s="917"/>
      <c r="P61" s="503">
        <f t="shared" si="38"/>
        <v>0</v>
      </c>
      <c r="Q61" s="503">
        <f t="shared" si="39"/>
        <v>0</v>
      </c>
      <c r="R61" s="503">
        <f t="shared" si="40"/>
        <v>0</v>
      </c>
      <c r="S61" s="503">
        <f t="shared" si="44"/>
        <v>0</v>
      </c>
      <c r="T61" s="514">
        <f t="shared" si="41"/>
        <v>0</v>
      </c>
      <c r="U61" s="917"/>
      <c r="V61" s="690">
        <f t="shared" si="26"/>
        <v>0</v>
      </c>
      <c r="W61" s="557"/>
      <c r="X61" s="46"/>
    </row>
    <row r="62" spans="1:25" x14ac:dyDescent="0.25">
      <c r="A62" s="533" t="s">
        <v>63</v>
      </c>
      <c r="B62" s="533" t="s">
        <v>64</v>
      </c>
      <c r="C62" s="64">
        <v>72000</v>
      </c>
      <c r="D62" s="64">
        <v>72000</v>
      </c>
      <c r="E62" s="64">
        <v>72000</v>
      </c>
      <c r="F62" s="64">
        <v>51200</v>
      </c>
      <c r="G62" s="125"/>
      <c r="H62" s="125">
        <v>51200</v>
      </c>
      <c r="I62" s="125">
        <v>51200</v>
      </c>
      <c r="J62" s="125">
        <v>51200</v>
      </c>
      <c r="K62" s="125"/>
      <c r="L62" s="518">
        <f t="shared" si="19"/>
        <v>0.71111111111111114</v>
      </c>
      <c r="M62" s="518">
        <f t="shared" si="20"/>
        <v>0.71111111111111114</v>
      </c>
      <c r="N62" s="518">
        <f t="shared" si="21"/>
        <v>0.71111111111111114</v>
      </c>
      <c r="O62" s="152"/>
      <c r="P62" s="503">
        <f t="shared" si="38"/>
        <v>0</v>
      </c>
      <c r="Q62" s="503">
        <f t="shared" si="39"/>
        <v>0</v>
      </c>
      <c r="R62" s="503">
        <f t="shared" si="40"/>
        <v>-20800</v>
      </c>
      <c r="S62" s="503">
        <f t="shared" si="44"/>
        <v>-20800</v>
      </c>
      <c r="T62" s="514">
        <f t="shared" si="41"/>
        <v>-0.28888888888888886</v>
      </c>
      <c r="U62" s="152"/>
      <c r="V62" s="690">
        <f t="shared" si="26"/>
        <v>0</v>
      </c>
      <c r="W62" s="557"/>
      <c r="X62" s="46"/>
    </row>
    <row r="63" spans="1:25" ht="40.35" customHeight="1" x14ac:dyDescent="0.25">
      <c r="A63" s="533"/>
      <c r="B63" s="533" t="s">
        <v>103</v>
      </c>
      <c r="C63" s="64"/>
      <c r="D63" s="64"/>
      <c r="E63" s="64"/>
      <c r="F63" s="64"/>
      <c r="G63" s="125"/>
      <c r="H63" s="125"/>
      <c r="I63" s="125"/>
      <c r="J63" s="125"/>
      <c r="K63" s="125"/>
      <c r="L63" s="518">
        <f t="shared" si="19"/>
        <v>0</v>
      </c>
      <c r="M63" s="518">
        <f t="shared" si="20"/>
        <v>0</v>
      </c>
      <c r="N63" s="518">
        <f t="shared" si="21"/>
        <v>0</v>
      </c>
      <c r="O63" s="917"/>
      <c r="P63" s="503">
        <f t="shared" si="38"/>
        <v>0</v>
      </c>
      <c r="Q63" s="503">
        <f t="shared" si="39"/>
        <v>0</v>
      </c>
      <c r="R63" s="503">
        <f t="shared" si="40"/>
        <v>0</v>
      </c>
      <c r="S63" s="503">
        <f t="shared" si="44"/>
        <v>0</v>
      </c>
      <c r="T63" s="514">
        <f t="shared" si="41"/>
        <v>0</v>
      </c>
      <c r="U63" s="917"/>
      <c r="V63" s="690">
        <f t="shared" si="26"/>
        <v>0</v>
      </c>
      <c r="W63" s="557"/>
      <c r="X63" s="46"/>
      <c r="Y63" s="2"/>
    </row>
    <row r="64" spans="1:25" x14ac:dyDescent="0.25">
      <c r="A64" s="533" t="s">
        <v>65</v>
      </c>
      <c r="B64" s="533" t="s">
        <v>66</v>
      </c>
      <c r="C64" s="64">
        <v>152000</v>
      </c>
      <c r="D64" s="64">
        <v>152000</v>
      </c>
      <c r="E64" s="166">
        <v>152000</v>
      </c>
      <c r="F64" s="64">
        <v>152000</v>
      </c>
      <c r="G64" s="125"/>
      <c r="H64" s="125">
        <v>63449</v>
      </c>
      <c r="I64" s="125">
        <v>100815</v>
      </c>
      <c r="J64" s="125">
        <v>142112</v>
      </c>
      <c r="K64" s="125"/>
      <c r="L64" s="518">
        <f t="shared" si="19"/>
        <v>0.41742763157894736</v>
      </c>
      <c r="M64" s="518">
        <f t="shared" si="20"/>
        <v>0.66325657894736845</v>
      </c>
      <c r="N64" s="518">
        <f t="shared" si="21"/>
        <v>0.93494736842105264</v>
      </c>
      <c r="O64" s="152"/>
      <c r="P64" s="503">
        <f t="shared" ref="P64:P89" si="53">+(D64-C64)*P$10</f>
        <v>0</v>
      </c>
      <c r="Q64" s="503">
        <f t="shared" ref="Q64:Q89" si="54">+(E64-D64)*Q$10</f>
        <v>0</v>
      </c>
      <c r="R64" s="503">
        <f t="shared" ref="R64:R89" si="55">+(F64-E64)*R$10</f>
        <v>0</v>
      </c>
      <c r="S64" s="503">
        <f t="shared" si="44"/>
        <v>0</v>
      </c>
      <c r="T64" s="514">
        <f t="shared" ref="T64:T89" si="56">IF(C64=0,0,+S64/C64)</f>
        <v>0</v>
      </c>
      <c r="U64" s="152"/>
      <c r="V64" s="690">
        <f t="shared" si="26"/>
        <v>0</v>
      </c>
      <c r="W64" s="557"/>
      <c r="X64" s="46"/>
      <c r="Y64" s="2"/>
    </row>
    <row r="65" spans="1:24" ht="39.6" x14ac:dyDescent="0.25">
      <c r="A65" s="533"/>
      <c r="B65" s="533" t="s">
        <v>67</v>
      </c>
      <c r="C65" s="64"/>
      <c r="D65" s="64"/>
      <c r="E65" s="64"/>
      <c r="F65" s="64"/>
      <c r="G65" s="125"/>
      <c r="H65" s="125"/>
      <c r="I65" s="125"/>
      <c r="J65" s="125"/>
      <c r="K65" s="125"/>
      <c r="L65" s="518">
        <f t="shared" si="19"/>
        <v>0</v>
      </c>
      <c r="M65" s="518">
        <f t="shared" si="20"/>
        <v>0</v>
      </c>
      <c r="N65" s="518">
        <f t="shared" si="21"/>
        <v>0</v>
      </c>
      <c r="O65" s="917"/>
      <c r="P65" s="503">
        <f t="shared" si="53"/>
        <v>0</v>
      </c>
      <c r="Q65" s="503">
        <f t="shared" si="54"/>
        <v>0</v>
      </c>
      <c r="R65" s="503">
        <f t="shared" si="55"/>
        <v>0</v>
      </c>
      <c r="S65" s="503">
        <f t="shared" si="44"/>
        <v>0</v>
      </c>
      <c r="T65" s="514">
        <f t="shared" si="56"/>
        <v>0</v>
      </c>
      <c r="U65" s="917"/>
      <c r="V65" s="690">
        <f t="shared" si="26"/>
        <v>0</v>
      </c>
      <c r="W65" s="557"/>
      <c r="X65" s="46"/>
    </row>
    <row r="66" spans="1:24" s="26" customFormat="1" x14ac:dyDescent="0.25">
      <c r="A66" s="516" t="s">
        <v>68</v>
      </c>
      <c r="B66" s="516" t="s">
        <v>69</v>
      </c>
      <c r="C66" s="167">
        <f>SUM(C67:C70)</f>
        <v>650000</v>
      </c>
      <c r="D66" s="167">
        <f t="shared" ref="D66:F66" si="57">SUM(D67:D70)</f>
        <v>625000</v>
      </c>
      <c r="E66" s="167">
        <f t="shared" si="57"/>
        <v>525000</v>
      </c>
      <c r="F66" s="167">
        <f t="shared" si="57"/>
        <v>730800</v>
      </c>
      <c r="G66" s="167"/>
      <c r="H66" s="167">
        <f t="shared" ref="H66" si="58">SUM(H67:H70)</f>
        <v>246116</v>
      </c>
      <c r="I66" s="167">
        <f t="shared" ref="I66" si="59">SUM(I67:I70)</f>
        <v>429171</v>
      </c>
      <c r="J66" s="167">
        <f t="shared" ref="J66" si="60">SUM(J67:J70)</f>
        <v>712046</v>
      </c>
      <c r="K66" s="167"/>
      <c r="L66" s="522">
        <f t="shared" si="19"/>
        <v>0.37863999999999998</v>
      </c>
      <c r="M66" s="522">
        <f t="shared" si="20"/>
        <v>0.6866736</v>
      </c>
      <c r="N66" s="522">
        <f t="shared" si="21"/>
        <v>1.3562780952380953</v>
      </c>
      <c r="O66" s="920"/>
      <c r="P66" s="503">
        <f t="shared" si="53"/>
        <v>-25000</v>
      </c>
      <c r="Q66" s="503">
        <f t="shared" si="54"/>
        <v>-100000</v>
      </c>
      <c r="R66" s="503">
        <f t="shared" si="55"/>
        <v>205800</v>
      </c>
      <c r="S66" s="503">
        <f t="shared" si="44"/>
        <v>80800</v>
      </c>
      <c r="T66" s="514">
        <f t="shared" si="56"/>
        <v>0.12430769230769231</v>
      </c>
      <c r="U66" s="920"/>
      <c r="V66" s="690">
        <f t="shared" si="26"/>
        <v>0</v>
      </c>
      <c r="W66" s="921"/>
      <c r="X66" s="50"/>
    </row>
    <row r="67" spans="1:24" x14ac:dyDescent="0.25">
      <c r="A67" s="533" t="s">
        <v>70</v>
      </c>
      <c r="B67" s="533" t="s">
        <v>71</v>
      </c>
      <c r="C67" s="64">
        <v>650000</v>
      </c>
      <c r="D67" s="64">
        <v>625000</v>
      </c>
      <c r="E67" s="64">
        <v>525000</v>
      </c>
      <c r="F67" s="64">
        <v>730800</v>
      </c>
      <c r="G67" s="125"/>
      <c r="H67" s="125">
        <v>246116</v>
      </c>
      <c r="I67" s="125">
        <v>429171</v>
      </c>
      <c r="J67" s="125">
        <v>712046</v>
      </c>
      <c r="K67" s="125"/>
      <c r="L67" s="518">
        <f t="shared" si="19"/>
        <v>0.37863999999999998</v>
      </c>
      <c r="M67" s="518">
        <f t="shared" si="20"/>
        <v>0.6866736</v>
      </c>
      <c r="N67" s="518">
        <f t="shared" si="21"/>
        <v>1.3562780952380953</v>
      </c>
      <c r="O67" s="152"/>
      <c r="P67" s="503">
        <f t="shared" si="53"/>
        <v>-25000</v>
      </c>
      <c r="Q67" s="503">
        <f t="shared" si="54"/>
        <v>-100000</v>
      </c>
      <c r="R67" s="503">
        <f t="shared" si="55"/>
        <v>205800</v>
      </c>
      <c r="S67" s="503">
        <f t="shared" si="44"/>
        <v>80800</v>
      </c>
      <c r="T67" s="514">
        <f t="shared" si="56"/>
        <v>0.12430769230769231</v>
      </c>
      <c r="U67" s="152"/>
      <c r="V67" s="690">
        <f t="shared" si="26"/>
        <v>0</v>
      </c>
      <c r="W67" s="557"/>
      <c r="X67" s="46"/>
    </row>
    <row r="68" spans="1:24" ht="39.6" x14ac:dyDescent="0.25">
      <c r="A68" s="533"/>
      <c r="B68" s="533" t="s">
        <v>72</v>
      </c>
      <c r="C68" s="64"/>
      <c r="D68" s="64"/>
      <c r="E68" s="64"/>
      <c r="F68" s="64"/>
      <c r="G68" s="125"/>
      <c r="H68" s="125"/>
      <c r="I68" s="125"/>
      <c r="J68" s="125"/>
      <c r="K68" s="125"/>
      <c r="L68" s="518">
        <f t="shared" si="19"/>
        <v>0</v>
      </c>
      <c r="M68" s="518">
        <f t="shared" si="20"/>
        <v>0</v>
      </c>
      <c r="N68" s="518">
        <f t="shared" si="21"/>
        <v>0</v>
      </c>
      <c r="O68" s="917"/>
      <c r="P68" s="503">
        <f t="shared" si="53"/>
        <v>0</v>
      </c>
      <c r="Q68" s="503">
        <f t="shared" si="54"/>
        <v>0</v>
      </c>
      <c r="R68" s="503">
        <f t="shared" si="55"/>
        <v>0</v>
      </c>
      <c r="S68" s="503">
        <f t="shared" si="44"/>
        <v>0</v>
      </c>
      <c r="T68" s="514">
        <f t="shared" si="56"/>
        <v>0</v>
      </c>
      <c r="U68" s="917"/>
      <c r="V68" s="690">
        <f t="shared" si="26"/>
        <v>0</v>
      </c>
      <c r="W68" s="557"/>
      <c r="X68" s="46"/>
    </row>
    <row r="69" spans="1:24" x14ac:dyDescent="0.25">
      <c r="A69" s="533" t="s">
        <v>73</v>
      </c>
      <c r="B69" s="533" t="s">
        <v>101</v>
      </c>
      <c r="C69" s="64"/>
      <c r="D69" s="64"/>
      <c r="E69" s="64"/>
      <c r="F69" s="64"/>
      <c r="G69" s="125"/>
      <c r="H69" s="125"/>
      <c r="I69" s="125"/>
      <c r="J69" s="125"/>
      <c r="K69" s="125"/>
      <c r="L69" s="518">
        <f t="shared" si="19"/>
        <v>0</v>
      </c>
      <c r="M69" s="518">
        <f t="shared" si="20"/>
        <v>0</v>
      </c>
      <c r="N69" s="518">
        <f t="shared" si="21"/>
        <v>0</v>
      </c>
      <c r="O69" s="917"/>
      <c r="P69" s="503">
        <f t="shared" si="53"/>
        <v>0</v>
      </c>
      <c r="Q69" s="503">
        <f t="shared" si="54"/>
        <v>0</v>
      </c>
      <c r="R69" s="503">
        <f t="shared" si="55"/>
        <v>0</v>
      </c>
      <c r="S69" s="503">
        <f t="shared" si="44"/>
        <v>0</v>
      </c>
      <c r="T69" s="514">
        <f t="shared" si="56"/>
        <v>0</v>
      </c>
      <c r="U69" s="917"/>
      <c r="V69" s="690">
        <f t="shared" si="26"/>
        <v>0</v>
      </c>
      <c r="W69" s="557"/>
      <c r="X69" s="46"/>
    </row>
    <row r="70" spans="1:24" ht="39.6" x14ac:dyDescent="0.25">
      <c r="A70" s="533"/>
      <c r="B70" s="533" t="s">
        <v>74</v>
      </c>
      <c r="C70" s="64"/>
      <c r="D70" s="64"/>
      <c r="E70" s="64"/>
      <c r="F70" s="64"/>
      <c r="G70" s="125"/>
      <c r="H70" s="125"/>
      <c r="I70" s="125"/>
      <c r="J70" s="125"/>
      <c r="K70" s="125"/>
      <c r="L70" s="518">
        <f t="shared" si="19"/>
        <v>0</v>
      </c>
      <c r="M70" s="518">
        <f t="shared" si="20"/>
        <v>0</v>
      </c>
      <c r="N70" s="518">
        <f t="shared" si="21"/>
        <v>0</v>
      </c>
      <c r="O70" s="917"/>
      <c r="P70" s="503">
        <f t="shared" si="53"/>
        <v>0</v>
      </c>
      <c r="Q70" s="503">
        <f t="shared" si="54"/>
        <v>0</v>
      </c>
      <c r="R70" s="503">
        <f t="shared" si="55"/>
        <v>0</v>
      </c>
      <c r="S70" s="503">
        <f t="shared" si="44"/>
        <v>0</v>
      </c>
      <c r="T70" s="514">
        <f t="shared" si="56"/>
        <v>0</v>
      </c>
      <c r="U70" s="917"/>
      <c r="V70" s="690">
        <f t="shared" si="26"/>
        <v>0</v>
      </c>
      <c r="W70" s="557"/>
      <c r="X70" s="46"/>
    </row>
    <row r="71" spans="1:24" s="26" customFormat="1" x14ac:dyDescent="0.25">
      <c r="A71" s="516" t="s">
        <v>75</v>
      </c>
      <c r="B71" s="516" t="s">
        <v>76</v>
      </c>
      <c r="C71" s="167">
        <f>SUM(C72:C81)</f>
        <v>2902000</v>
      </c>
      <c r="D71" s="167">
        <f t="shared" ref="D71:F71" si="61">SUM(D72:D81)</f>
        <v>2902000</v>
      </c>
      <c r="E71" s="167">
        <f t="shared" si="61"/>
        <v>3002000</v>
      </c>
      <c r="F71" s="167">
        <f t="shared" si="61"/>
        <v>3032000</v>
      </c>
      <c r="G71" s="167"/>
      <c r="H71" s="167">
        <f t="shared" ref="H71" si="62">SUM(H72:H81)</f>
        <v>1521895</v>
      </c>
      <c r="I71" s="167">
        <f t="shared" ref="I71" si="63">SUM(I72:I81)</f>
        <v>1903857</v>
      </c>
      <c r="J71" s="167">
        <f t="shared" ref="J71" si="64">SUM(J72:J81)</f>
        <v>2456516</v>
      </c>
      <c r="K71" s="167"/>
      <c r="L71" s="522">
        <f t="shared" si="19"/>
        <v>0.52442970365265329</v>
      </c>
      <c r="M71" s="522">
        <f t="shared" si="20"/>
        <v>0.65604996554100625</v>
      </c>
      <c r="N71" s="522">
        <f t="shared" si="21"/>
        <v>0.81829313790806124</v>
      </c>
      <c r="O71" s="920"/>
      <c r="P71" s="503">
        <f t="shared" si="53"/>
        <v>0</v>
      </c>
      <c r="Q71" s="503">
        <f t="shared" si="54"/>
        <v>100000</v>
      </c>
      <c r="R71" s="503">
        <f t="shared" si="55"/>
        <v>30000</v>
      </c>
      <c r="S71" s="503">
        <f t="shared" si="44"/>
        <v>130000</v>
      </c>
      <c r="T71" s="514">
        <f t="shared" si="56"/>
        <v>4.4796691936595454E-2</v>
      </c>
      <c r="U71" s="920"/>
      <c r="V71" s="690">
        <f t="shared" si="26"/>
        <v>0</v>
      </c>
      <c r="W71" s="921"/>
      <c r="X71" s="50"/>
    </row>
    <row r="72" spans="1:24" x14ac:dyDescent="0.25">
      <c r="A72" s="533" t="s">
        <v>77</v>
      </c>
      <c r="B72" s="533" t="s">
        <v>78</v>
      </c>
      <c r="C72" s="64">
        <v>1870000</v>
      </c>
      <c r="D72" s="64">
        <v>1870000</v>
      </c>
      <c r="E72" s="166">
        <v>1970000</v>
      </c>
      <c r="F72" s="64">
        <v>1940000</v>
      </c>
      <c r="G72" s="125"/>
      <c r="H72" s="125">
        <v>854428</v>
      </c>
      <c r="I72" s="125">
        <v>1031966</v>
      </c>
      <c r="J72" s="125">
        <v>1372250</v>
      </c>
      <c r="K72" s="125"/>
      <c r="L72" s="518">
        <f t="shared" si="19"/>
        <v>0.45691336898395724</v>
      </c>
      <c r="M72" s="518">
        <f t="shared" si="20"/>
        <v>0.5518534759358289</v>
      </c>
      <c r="N72" s="518">
        <f t="shared" si="21"/>
        <v>0.69657360406091373</v>
      </c>
      <c r="O72" s="152"/>
      <c r="P72" s="503">
        <f t="shared" si="53"/>
        <v>0</v>
      </c>
      <c r="Q72" s="503">
        <f t="shared" si="54"/>
        <v>100000</v>
      </c>
      <c r="R72" s="503">
        <f t="shared" si="55"/>
        <v>-30000</v>
      </c>
      <c r="S72" s="503">
        <f t="shared" si="44"/>
        <v>70000</v>
      </c>
      <c r="T72" s="514">
        <f t="shared" si="56"/>
        <v>3.7433155080213901E-2</v>
      </c>
      <c r="U72" s="152"/>
      <c r="V72" s="690">
        <f t="shared" si="26"/>
        <v>0</v>
      </c>
      <c r="W72" s="557"/>
      <c r="X72" s="46"/>
    </row>
    <row r="73" spans="1:24" x14ac:dyDescent="0.25">
      <c r="A73" s="533"/>
      <c r="B73" s="533" t="s">
        <v>79</v>
      </c>
      <c r="C73" s="64"/>
      <c r="D73" s="64"/>
      <c r="E73" s="64"/>
      <c r="F73" s="64"/>
      <c r="G73" s="125"/>
      <c r="H73" s="125"/>
      <c r="I73" s="125"/>
      <c r="J73" s="125"/>
      <c r="K73" s="125"/>
      <c r="L73" s="518">
        <f t="shared" si="19"/>
        <v>0</v>
      </c>
      <c r="M73" s="518">
        <f t="shared" si="20"/>
        <v>0</v>
      </c>
      <c r="N73" s="518">
        <f t="shared" si="21"/>
        <v>0</v>
      </c>
      <c r="O73" s="917"/>
      <c r="P73" s="503">
        <f t="shared" si="53"/>
        <v>0</v>
      </c>
      <c r="Q73" s="503">
        <f t="shared" si="54"/>
        <v>0</v>
      </c>
      <c r="R73" s="503">
        <f t="shared" si="55"/>
        <v>0</v>
      </c>
      <c r="S73" s="503">
        <f t="shared" si="44"/>
        <v>0</v>
      </c>
      <c r="T73" s="514">
        <f t="shared" si="56"/>
        <v>0</v>
      </c>
      <c r="U73" s="917"/>
      <c r="V73" s="690">
        <f t="shared" si="26"/>
        <v>0</v>
      </c>
      <c r="W73" s="557"/>
      <c r="X73" s="46"/>
    </row>
    <row r="74" spans="1:24" x14ac:dyDescent="0.25">
      <c r="A74" s="533" t="s">
        <v>80</v>
      </c>
      <c r="B74" s="533" t="s">
        <v>81</v>
      </c>
      <c r="C74" s="64">
        <v>1000000</v>
      </c>
      <c r="D74" s="64">
        <v>1000000</v>
      </c>
      <c r="E74" s="64">
        <v>1000000</v>
      </c>
      <c r="F74" s="64">
        <v>1080000</v>
      </c>
      <c r="G74" s="125"/>
      <c r="H74" s="125">
        <v>665000</v>
      </c>
      <c r="I74" s="125">
        <v>869000</v>
      </c>
      <c r="J74" s="125">
        <v>1080000</v>
      </c>
      <c r="K74" s="125"/>
      <c r="L74" s="518">
        <f t="shared" si="19"/>
        <v>0.66500000000000004</v>
      </c>
      <c r="M74" s="518">
        <f t="shared" si="20"/>
        <v>0.86899999999999999</v>
      </c>
      <c r="N74" s="518">
        <f t="shared" si="21"/>
        <v>1.08</v>
      </c>
      <c r="O74" s="152"/>
      <c r="P74" s="503">
        <f t="shared" si="53"/>
        <v>0</v>
      </c>
      <c r="Q74" s="503">
        <f t="shared" si="54"/>
        <v>0</v>
      </c>
      <c r="R74" s="503">
        <f t="shared" si="55"/>
        <v>80000</v>
      </c>
      <c r="S74" s="503">
        <f t="shared" si="44"/>
        <v>80000</v>
      </c>
      <c r="T74" s="514">
        <f t="shared" si="56"/>
        <v>0.08</v>
      </c>
      <c r="U74" s="152"/>
      <c r="V74" s="690">
        <f t="shared" si="26"/>
        <v>0</v>
      </c>
      <c r="W74" s="557"/>
      <c r="X74" s="46"/>
    </row>
    <row r="75" spans="1:24" ht="26.4" x14ac:dyDescent="0.25">
      <c r="A75" s="533"/>
      <c r="B75" s="533" t="s">
        <v>102</v>
      </c>
      <c r="C75" s="64"/>
      <c r="D75" s="64"/>
      <c r="E75" s="64"/>
      <c r="F75" s="64"/>
      <c r="G75" s="125"/>
      <c r="H75" s="125"/>
      <c r="I75" s="125"/>
      <c r="J75" s="125"/>
      <c r="K75" s="125"/>
      <c r="L75" s="518">
        <f t="shared" si="19"/>
        <v>0</v>
      </c>
      <c r="M75" s="518">
        <f t="shared" si="20"/>
        <v>0</v>
      </c>
      <c r="N75" s="518">
        <f t="shared" si="21"/>
        <v>0</v>
      </c>
      <c r="O75" s="917"/>
      <c r="P75" s="503">
        <f t="shared" si="53"/>
        <v>0</v>
      </c>
      <c r="Q75" s="503">
        <f t="shared" si="54"/>
        <v>0</v>
      </c>
      <c r="R75" s="503">
        <f t="shared" si="55"/>
        <v>0</v>
      </c>
      <c r="S75" s="503">
        <f t="shared" si="44"/>
        <v>0</v>
      </c>
      <c r="T75" s="514">
        <f t="shared" si="56"/>
        <v>0</v>
      </c>
      <c r="U75" s="917"/>
      <c r="V75" s="690">
        <f t="shared" si="26"/>
        <v>0</v>
      </c>
      <c r="W75" s="557"/>
      <c r="X75" s="46"/>
    </row>
    <row r="76" spans="1:24" x14ac:dyDescent="0.25">
      <c r="A76" s="533" t="s">
        <v>82</v>
      </c>
      <c r="B76" s="533" t="s">
        <v>83</v>
      </c>
      <c r="C76" s="64"/>
      <c r="D76" s="64"/>
      <c r="E76" s="64"/>
      <c r="F76" s="64"/>
      <c r="G76" s="125"/>
      <c r="H76" s="125"/>
      <c r="I76" s="125"/>
      <c r="J76" s="125"/>
      <c r="K76" s="125"/>
      <c r="L76" s="518">
        <f t="shared" si="19"/>
        <v>0</v>
      </c>
      <c r="M76" s="518">
        <f t="shared" si="20"/>
        <v>0</v>
      </c>
      <c r="N76" s="518">
        <f t="shared" si="21"/>
        <v>0</v>
      </c>
      <c r="O76" s="917"/>
      <c r="P76" s="503">
        <f t="shared" si="53"/>
        <v>0</v>
      </c>
      <c r="Q76" s="503">
        <f t="shared" si="54"/>
        <v>0</v>
      </c>
      <c r="R76" s="503">
        <f t="shared" si="55"/>
        <v>0</v>
      </c>
      <c r="S76" s="503">
        <f t="shared" si="44"/>
        <v>0</v>
      </c>
      <c r="T76" s="514">
        <f t="shared" si="56"/>
        <v>0</v>
      </c>
      <c r="U76" s="917"/>
      <c r="V76" s="690">
        <f t="shared" si="26"/>
        <v>0</v>
      </c>
      <c r="W76" s="557"/>
      <c r="X76" s="46"/>
    </row>
    <row r="77" spans="1:24" ht="26.4" x14ac:dyDescent="0.25">
      <c r="A77" s="533"/>
      <c r="B77" s="533" t="s">
        <v>84</v>
      </c>
      <c r="C77" s="64"/>
      <c r="D77" s="64"/>
      <c r="E77" s="64"/>
      <c r="F77" s="64"/>
      <c r="G77" s="125"/>
      <c r="H77" s="125"/>
      <c r="I77" s="125"/>
      <c r="J77" s="125"/>
      <c r="K77" s="125"/>
      <c r="L77" s="518">
        <f t="shared" ref="L77:L102" si="65">IF(C77=0,0,H77/C77)</f>
        <v>0</v>
      </c>
      <c r="M77" s="518">
        <f t="shared" ref="M77:M102" si="66">IF(D77=0,0,I77/D77)</f>
        <v>0</v>
      </c>
      <c r="N77" s="518">
        <f t="shared" ref="N77:N102" si="67">IF(E77=0,0,J77/E77)</f>
        <v>0</v>
      </c>
      <c r="O77" s="917"/>
      <c r="P77" s="503">
        <f t="shared" si="53"/>
        <v>0</v>
      </c>
      <c r="Q77" s="503">
        <f t="shared" si="54"/>
        <v>0</v>
      </c>
      <c r="R77" s="503">
        <f t="shared" si="55"/>
        <v>0</v>
      </c>
      <c r="S77" s="503">
        <f t="shared" si="44"/>
        <v>0</v>
      </c>
      <c r="T77" s="514">
        <f t="shared" si="56"/>
        <v>0</v>
      </c>
      <c r="U77" s="917"/>
      <c r="V77" s="690">
        <f t="shared" ref="V77:V102" si="68">+S77-F77+C77</f>
        <v>0</v>
      </c>
      <c r="W77" s="557"/>
      <c r="X77" s="46"/>
    </row>
    <row r="78" spans="1:24" x14ac:dyDescent="0.25">
      <c r="A78" s="533" t="s">
        <v>85</v>
      </c>
      <c r="B78" s="533" t="s">
        <v>86</v>
      </c>
      <c r="C78" s="64"/>
      <c r="D78" s="64"/>
      <c r="E78" s="64"/>
      <c r="F78" s="64"/>
      <c r="G78" s="125"/>
      <c r="H78" s="125"/>
      <c r="I78" s="125"/>
      <c r="J78" s="125"/>
      <c r="K78" s="125"/>
      <c r="L78" s="518">
        <f t="shared" si="65"/>
        <v>0</v>
      </c>
      <c r="M78" s="518">
        <f t="shared" si="66"/>
        <v>0</v>
      </c>
      <c r="N78" s="518">
        <f t="shared" si="67"/>
        <v>0</v>
      </c>
      <c r="O78" s="917"/>
      <c r="P78" s="503">
        <f t="shared" si="53"/>
        <v>0</v>
      </c>
      <c r="Q78" s="503">
        <f t="shared" si="54"/>
        <v>0</v>
      </c>
      <c r="R78" s="503">
        <f t="shared" si="55"/>
        <v>0</v>
      </c>
      <c r="S78" s="503">
        <f t="shared" si="44"/>
        <v>0</v>
      </c>
      <c r="T78" s="514">
        <f t="shared" si="56"/>
        <v>0</v>
      </c>
      <c r="U78" s="917"/>
      <c r="V78" s="690">
        <f t="shared" si="68"/>
        <v>0</v>
      </c>
      <c r="W78" s="557"/>
      <c r="X78" s="46"/>
    </row>
    <row r="79" spans="1:24" x14ac:dyDescent="0.25">
      <c r="A79" s="533"/>
      <c r="B79" s="533" t="s">
        <v>87</v>
      </c>
      <c r="C79" s="64"/>
      <c r="D79" s="64"/>
      <c r="E79" s="64"/>
      <c r="F79" s="64"/>
      <c r="G79" s="125"/>
      <c r="H79" s="125"/>
      <c r="I79" s="125"/>
      <c r="J79" s="125"/>
      <c r="K79" s="125"/>
      <c r="L79" s="518">
        <f t="shared" si="65"/>
        <v>0</v>
      </c>
      <c r="M79" s="518">
        <f t="shared" si="66"/>
        <v>0</v>
      </c>
      <c r="N79" s="518">
        <f t="shared" si="67"/>
        <v>0</v>
      </c>
      <c r="O79" s="917"/>
      <c r="P79" s="503">
        <f t="shared" si="53"/>
        <v>0</v>
      </c>
      <c r="Q79" s="503">
        <f t="shared" si="54"/>
        <v>0</v>
      </c>
      <c r="R79" s="503">
        <f t="shared" si="55"/>
        <v>0</v>
      </c>
      <c r="S79" s="503">
        <f t="shared" si="44"/>
        <v>0</v>
      </c>
      <c r="T79" s="514">
        <f t="shared" si="56"/>
        <v>0</v>
      </c>
      <c r="U79" s="917"/>
      <c r="V79" s="690">
        <f t="shared" si="68"/>
        <v>0</v>
      </c>
      <c r="W79" s="557"/>
      <c r="X79" s="46"/>
    </row>
    <row r="80" spans="1:24" x14ac:dyDescent="0.25">
      <c r="A80" s="533" t="s">
        <v>88</v>
      </c>
      <c r="B80" s="533" t="s">
        <v>89</v>
      </c>
      <c r="C80" s="64">
        <v>32000</v>
      </c>
      <c r="D80" s="64">
        <v>32000</v>
      </c>
      <c r="E80" s="166">
        <v>32000</v>
      </c>
      <c r="F80" s="64">
        <v>12000</v>
      </c>
      <c r="G80" s="125"/>
      <c r="H80" s="125">
        <v>2467</v>
      </c>
      <c r="I80" s="125">
        <v>2891</v>
      </c>
      <c r="J80" s="125">
        <v>4266</v>
      </c>
      <c r="K80" s="125"/>
      <c r="L80" s="518">
        <f t="shared" si="65"/>
        <v>7.7093750000000003E-2</v>
      </c>
      <c r="M80" s="518">
        <f t="shared" si="66"/>
        <v>9.034375E-2</v>
      </c>
      <c r="N80" s="518">
        <f t="shared" si="67"/>
        <v>0.1333125</v>
      </c>
      <c r="O80" s="152"/>
      <c r="P80" s="503">
        <f t="shared" si="53"/>
        <v>0</v>
      </c>
      <c r="Q80" s="503">
        <f t="shared" si="54"/>
        <v>0</v>
      </c>
      <c r="R80" s="503">
        <f t="shared" si="55"/>
        <v>-20000</v>
      </c>
      <c r="S80" s="503">
        <f t="shared" si="44"/>
        <v>-20000</v>
      </c>
      <c r="T80" s="514">
        <f t="shared" si="56"/>
        <v>-0.625</v>
      </c>
      <c r="U80" s="152"/>
      <c r="V80" s="690">
        <f t="shared" si="68"/>
        <v>0</v>
      </c>
      <c r="W80" s="557"/>
      <c r="X80" s="46"/>
    </row>
    <row r="81" spans="1:26" ht="38.700000000000003" customHeight="1" x14ac:dyDescent="0.25">
      <c r="A81" s="533"/>
      <c r="B81" s="533" t="s">
        <v>93</v>
      </c>
      <c r="C81" s="64"/>
      <c r="D81" s="64"/>
      <c r="E81" s="64"/>
      <c r="F81" s="64"/>
      <c r="G81" s="125"/>
      <c r="H81" s="125"/>
      <c r="I81" s="125"/>
      <c r="J81" s="125"/>
      <c r="K81" s="125"/>
      <c r="L81" s="518">
        <f t="shared" si="65"/>
        <v>0</v>
      </c>
      <c r="M81" s="518">
        <f t="shared" si="66"/>
        <v>0</v>
      </c>
      <c r="N81" s="518">
        <f t="shared" si="67"/>
        <v>0</v>
      </c>
      <c r="O81" s="917"/>
      <c r="P81" s="503">
        <f t="shared" si="53"/>
        <v>0</v>
      </c>
      <c r="Q81" s="503">
        <f t="shared" si="54"/>
        <v>0</v>
      </c>
      <c r="R81" s="503">
        <f t="shared" si="55"/>
        <v>0</v>
      </c>
      <c r="S81" s="503">
        <f t="shared" si="44"/>
        <v>0</v>
      </c>
      <c r="T81" s="514">
        <f t="shared" si="56"/>
        <v>0</v>
      </c>
      <c r="U81" s="917"/>
      <c r="V81" s="690">
        <f t="shared" si="68"/>
        <v>0</v>
      </c>
      <c r="W81" s="557"/>
      <c r="X81" s="46"/>
      <c r="Y81" s="2"/>
    </row>
    <row r="82" spans="1:26" x14ac:dyDescent="0.25">
      <c r="A82" s="533"/>
      <c r="B82" s="527"/>
      <c r="C82" s="64"/>
      <c r="D82" s="571"/>
      <c r="E82" s="571"/>
      <c r="F82" s="571"/>
      <c r="G82" s="572"/>
      <c r="H82" s="572"/>
      <c r="I82" s="572"/>
      <c r="J82" s="572"/>
      <c r="K82" s="572"/>
      <c r="L82" s="518"/>
      <c r="M82" s="518"/>
      <c r="N82" s="518"/>
      <c r="O82" s="917"/>
      <c r="P82" s="503"/>
      <c r="Q82" s="503"/>
      <c r="R82" s="503"/>
      <c r="S82" s="503"/>
      <c r="T82" s="514"/>
      <c r="U82" s="917"/>
      <c r="V82" s="690">
        <f t="shared" si="68"/>
        <v>0</v>
      </c>
      <c r="W82" s="557"/>
      <c r="X82" s="46"/>
    </row>
    <row r="83" spans="1:26" x14ac:dyDescent="0.25">
      <c r="A83" s="513" t="s">
        <v>159</v>
      </c>
      <c r="B83" s="513" t="s">
        <v>160</v>
      </c>
      <c r="C83" s="131">
        <f>SUM(C84:C85)</f>
        <v>150000</v>
      </c>
      <c r="D83" s="131">
        <f t="shared" ref="D83:F83" si="69">SUM(D84:D85)</f>
        <v>150000</v>
      </c>
      <c r="E83" s="131">
        <f t="shared" si="69"/>
        <v>190000</v>
      </c>
      <c r="F83" s="131">
        <f t="shared" si="69"/>
        <v>190000</v>
      </c>
      <c r="G83" s="590"/>
      <c r="H83" s="131">
        <f t="shared" ref="H83:J83" si="70">SUM(H84:H85)</f>
        <v>94990</v>
      </c>
      <c r="I83" s="131">
        <f t="shared" si="70"/>
        <v>175915</v>
      </c>
      <c r="J83" s="131">
        <f t="shared" si="70"/>
        <v>175915</v>
      </c>
      <c r="K83" s="590"/>
      <c r="L83" s="514">
        <f t="shared" si="65"/>
        <v>0.63326666666666664</v>
      </c>
      <c r="M83" s="514">
        <f t="shared" si="66"/>
        <v>1.1727666666666667</v>
      </c>
      <c r="N83" s="514">
        <f t="shared" si="67"/>
        <v>0.92586842105263156</v>
      </c>
      <c r="O83" s="565"/>
      <c r="P83" s="590">
        <f t="shared" ref="P83:P84" si="71">+(D83-C83)*P$10</f>
        <v>0</v>
      </c>
      <c r="Q83" s="590">
        <f t="shared" ref="Q83:Q84" si="72">+(E83-D83)*Q$10</f>
        <v>40000</v>
      </c>
      <c r="R83" s="590">
        <f t="shared" ref="R83:R84" si="73">+(F83-E83)*R$10</f>
        <v>0</v>
      </c>
      <c r="S83" s="590">
        <f t="shared" ref="S83:S84" si="74">SUM(P83:R83)</f>
        <v>40000</v>
      </c>
      <c r="T83" s="926">
        <f>IF(C83=0,0,+S83/C83)</f>
        <v>0.26666666666666666</v>
      </c>
      <c r="U83" s="565"/>
      <c r="V83" s="690">
        <f t="shared" si="68"/>
        <v>0</v>
      </c>
      <c r="W83" s="557"/>
      <c r="X83" s="46"/>
      <c r="Y83" s="2"/>
      <c r="Z83" s="2"/>
    </row>
    <row r="84" spans="1:26" x14ac:dyDescent="0.25">
      <c r="A84" s="533"/>
      <c r="B84" s="533"/>
      <c r="C84" s="583">
        <v>150000</v>
      </c>
      <c r="D84" s="583">
        <v>150000</v>
      </c>
      <c r="E84" s="583">
        <v>190000</v>
      </c>
      <c r="F84" s="583">
        <v>190000</v>
      </c>
      <c r="G84" s="918"/>
      <c r="H84" s="918">
        <v>94990</v>
      </c>
      <c r="I84" s="918">
        <v>175915</v>
      </c>
      <c r="J84" s="918">
        <v>175915</v>
      </c>
      <c r="K84" s="572"/>
      <c r="L84" s="518">
        <f t="shared" si="65"/>
        <v>0.63326666666666664</v>
      </c>
      <c r="M84" s="518">
        <f t="shared" si="66"/>
        <v>1.1727666666666667</v>
      </c>
      <c r="N84" s="518">
        <f t="shared" si="67"/>
        <v>0.92586842105263156</v>
      </c>
      <c r="O84" s="152"/>
      <c r="P84" s="503">
        <f t="shared" si="71"/>
        <v>0</v>
      </c>
      <c r="Q84" s="503">
        <f t="shared" si="72"/>
        <v>40000</v>
      </c>
      <c r="R84" s="503">
        <f t="shared" si="73"/>
        <v>0</v>
      </c>
      <c r="S84" s="503">
        <f t="shared" si="74"/>
        <v>40000</v>
      </c>
      <c r="T84" s="514">
        <f>IF(C84=0,0,+S84/C84)</f>
        <v>0.26666666666666666</v>
      </c>
      <c r="U84" s="152"/>
      <c r="V84" s="690">
        <f t="shared" si="68"/>
        <v>0</v>
      </c>
      <c r="W84" s="557"/>
      <c r="X84" s="46"/>
      <c r="Y84" s="32"/>
    </row>
    <row r="85" spans="1:26" x14ac:dyDescent="0.25">
      <c r="A85" s="533"/>
      <c r="B85" s="527"/>
      <c r="C85" s="64"/>
      <c r="D85" s="571"/>
      <c r="E85" s="571"/>
      <c r="F85" s="571"/>
      <c r="G85" s="572"/>
      <c r="H85" s="572"/>
      <c r="I85" s="572"/>
      <c r="J85" s="572"/>
      <c r="K85" s="572"/>
      <c r="L85" s="518"/>
      <c r="M85" s="518"/>
      <c r="N85" s="518"/>
      <c r="O85" s="917"/>
      <c r="P85" s="503"/>
      <c r="Q85" s="503"/>
      <c r="R85" s="503"/>
      <c r="S85" s="503"/>
      <c r="T85" s="514"/>
      <c r="U85" s="917"/>
      <c r="V85" s="690">
        <f t="shared" si="68"/>
        <v>0</v>
      </c>
      <c r="W85" s="557"/>
      <c r="X85" s="46"/>
    </row>
    <row r="86" spans="1:26" x14ac:dyDescent="0.25">
      <c r="A86" s="513" t="s">
        <v>174</v>
      </c>
      <c r="B86" s="513" t="s">
        <v>175</v>
      </c>
      <c r="C86" s="131">
        <f>SUM(C87:C88)</f>
        <v>0</v>
      </c>
      <c r="D86" s="131">
        <f t="shared" ref="D86:F86" si="75">SUM(D87:D88)</f>
        <v>0</v>
      </c>
      <c r="E86" s="131">
        <f t="shared" si="75"/>
        <v>0</v>
      </c>
      <c r="F86" s="131">
        <f t="shared" si="75"/>
        <v>0</v>
      </c>
      <c r="G86" s="590"/>
      <c r="H86" s="131">
        <f t="shared" ref="H86:J86" si="76">SUM(H87:H88)</f>
        <v>0</v>
      </c>
      <c r="I86" s="131">
        <f t="shared" si="76"/>
        <v>0</v>
      </c>
      <c r="J86" s="131">
        <f t="shared" si="76"/>
        <v>0</v>
      </c>
      <c r="K86" s="590"/>
      <c r="L86" s="514">
        <f t="shared" si="65"/>
        <v>0</v>
      </c>
      <c r="M86" s="514">
        <f t="shared" si="66"/>
        <v>0</v>
      </c>
      <c r="N86" s="514">
        <f t="shared" si="67"/>
        <v>0</v>
      </c>
      <c r="O86" s="565"/>
      <c r="P86" s="590">
        <f t="shared" ref="P86:P87" si="77">+(D86-C86)*P$10</f>
        <v>0</v>
      </c>
      <c r="Q86" s="590">
        <f t="shared" ref="Q86:Q87" si="78">+(E86-D86)*Q$10</f>
        <v>0</v>
      </c>
      <c r="R86" s="590">
        <f t="shared" ref="R86:R87" si="79">+(F86-E86)*R$10</f>
        <v>0</v>
      </c>
      <c r="S86" s="590">
        <f t="shared" ref="S86:S87" si="80">SUM(P86:R86)</f>
        <v>0</v>
      </c>
      <c r="T86" s="926">
        <f>IF(C86=0,0,+S86/C86)</f>
        <v>0</v>
      </c>
      <c r="U86" s="565"/>
      <c r="V86" s="690">
        <f t="shared" si="68"/>
        <v>0</v>
      </c>
      <c r="W86" s="557"/>
      <c r="X86" s="46"/>
      <c r="Y86" s="2"/>
      <c r="Z86" s="2"/>
    </row>
    <row r="87" spans="1:26" x14ac:dyDescent="0.25">
      <c r="A87" s="533"/>
      <c r="B87" s="533"/>
      <c r="C87" s="583"/>
      <c r="D87" s="583"/>
      <c r="E87" s="583"/>
      <c r="F87" s="583"/>
      <c r="G87" s="918"/>
      <c r="H87" s="918"/>
      <c r="I87" s="918"/>
      <c r="J87" s="918"/>
      <c r="K87" s="572"/>
      <c r="L87" s="518"/>
      <c r="M87" s="518"/>
      <c r="N87" s="518"/>
      <c r="O87" s="152"/>
      <c r="P87" s="503">
        <f t="shared" si="77"/>
        <v>0</v>
      </c>
      <c r="Q87" s="503">
        <f t="shared" si="78"/>
        <v>0</v>
      </c>
      <c r="R87" s="503">
        <f t="shared" si="79"/>
        <v>0</v>
      </c>
      <c r="S87" s="503">
        <f t="shared" si="80"/>
        <v>0</v>
      </c>
      <c r="T87" s="514">
        <f>IF(C87=0,0,+S87/C87)</f>
        <v>0</v>
      </c>
      <c r="U87" s="152"/>
      <c r="V87" s="690">
        <f t="shared" si="68"/>
        <v>0</v>
      </c>
      <c r="W87" s="557"/>
      <c r="X87" s="46"/>
      <c r="Y87" s="32"/>
    </row>
    <row r="88" spans="1:26" x14ac:dyDescent="0.25">
      <c r="A88" s="533"/>
      <c r="B88" s="527"/>
      <c r="C88" s="64"/>
      <c r="D88" s="571"/>
      <c r="E88" s="571"/>
      <c r="F88" s="571"/>
      <c r="G88" s="572"/>
      <c r="H88" s="572"/>
      <c r="I88" s="572"/>
      <c r="J88" s="572"/>
      <c r="K88" s="572"/>
      <c r="L88" s="518"/>
      <c r="M88" s="518"/>
      <c r="N88" s="518"/>
      <c r="O88" s="917"/>
      <c r="P88" s="503"/>
      <c r="Q88" s="503"/>
      <c r="R88" s="503"/>
      <c r="S88" s="503"/>
      <c r="T88" s="514"/>
      <c r="U88" s="917"/>
      <c r="V88" s="690">
        <f t="shared" si="68"/>
        <v>0</v>
      </c>
      <c r="W88" s="557"/>
      <c r="X88" s="46"/>
    </row>
    <row r="89" spans="1:26" x14ac:dyDescent="0.25">
      <c r="A89" s="513"/>
      <c r="B89" s="513" t="s">
        <v>380</v>
      </c>
      <c r="C89" s="131">
        <f>C13+C32+C29+C83+C86</f>
        <v>37247962</v>
      </c>
      <c r="D89" s="131">
        <f t="shared" ref="D89:J89" si="81">D13+D32+D29+D83+D86</f>
        <v>37247962</v>
      </c>
      <c r="E89" s="131">
        <f t="shared" si="81"/>
        <v>37247962</v>
      </c>
      <c r="F89" s="131">
        <f t="shared" si="81"/>
        <v>37247962</v>
      </c>
      <c r="G89" s="131"/>
      <c r="H89" s="131">
        <f t="shared" si="81"/>
        <v>18513794</v>
      </c>
      <c r="I89" s="131">
        <f t="shared" si="81"/>
        <v>26639005</v>
      </c>
      <c r="J89" s="131">
        <f t="shared" si="81"/>
        <v>35898271</v>
      </c>
      <c r="K89" s="590"/>
      <c r="L89" s="514">
        <f t="shared" si="65"/>
        <v>0.4970417978841366</v>
      </c>
      <c r="M89" s="514">
        <f t="shared" si="66"/>
        <v>0.71518020234234558</v>
      </c>
      <c r="N89" s="514">
        <f t="shared" si="67"/>
        <v>0.96376470207953924</v>
      </c>
      <c r="O89" s="565"/>
      <c r="P89" s="590">
        <f t="shared" si="53"/>
        <v>0</v>
      </c>
      <c r="Q89" s="590">
        <f t="shared" si="54"/>
        <v>0</v>
      </c>
      <c r="R89" s="590">
        <f t="shared" si="55"/>
        <v>0</v>
      </c>
      <c r="S89" s="590">
        <f t="shared" si="44"/>
        <v>0</v>
      </c>
      <c r="T89" s="926">
        <f t="shared" si="56"/>
        <v>0</v>
      </c>
      <c r="U89" s="565"/>
      <c r="V89" s="690">
        <f t="shared" si="68"/>
        <v>0</v>
      </c>
      <c r="W89" s="557"/>
      <c r="X89" s="46"/>
    </row>
    <row r="90" spans="1:26" ht="10.35" customHeight="1" x14ac:dyDescent="0.25">
      <c r="A90" s="591"/>
      <c r="B90" s="591"/>
      <c r="C90" s="592"/>
      <c r="D90" s="133"/>
      <c r="E90" s="133"/>
      <c r="F90" s="133"/>
      <c r="G90" s="133"/>
      <c r="H90" s="133"/>
      <c r="I90" s="133"/>
      <c r="J90" s="133"/>
      <c r="K90" s="133"/>
      <c r="L90" s="554"/>
      <c r="M90" s="554"/>
      <c r="N90" s="554"/>
      <c r="O90" s="133"/>
      <c r="P90" s="133"/>
      <c r="Q90" s="133"/>
      <c r="R90" s="133"/>
      <c r="S90" s="133"/>
      <c r="T90" s="547"/>
      <c r="U90" s="593"/>
      <c r="V90" s="690">
        <f t="shared" si="68"/>
        <v>0</v>
      </c>
      <c r="W90" s="557"/>
      <c r="X90" s="46"/>
    </row>
    <row r="91" spans="1:26" ht="10.35" customHeight="1" x14ac:dyDescent="0.25">
      <c r="A91" s="594"/>
      <c r="B91" s="594"/>
      <c r="C91" s="595"/>
      <c r="D91" s="596"/>
      <c r="E91" s="596"/>
      <c r="F91" s="596"/>
      <c r="G91" s="596"/>
      <c r="H91" s="596"/>
      <c r="I91" s="596"/>
      <c r="J91" s="596"/>
      <c r="K91" s="596"/>
      <c r="L91" s="555"/>
      <c r="M91" s="555"/>
      <c r="N91" s="555"/>
      <c r="O91" s="596"/>
      <c r="P91" s="596"/>
      <c r="Q91" s="596"/>
      <c r="R91" s="596"/>
      <c r="S91" s="596"/>
      <c r="T91" s="548"/>
      <c r="U91" s="597"/>
      <c r="V91" s="923">
        <f t="shared" si="68"/>
        <v>0</v>
      </c>
      <c r="W91" s="557"/>
      <c r="X91" s="46"/>
    </row>
    <row r="92" spans="1:26" ht="10.35" customHeight="1" x14ac:dyDescent="0.25">
      <c r="A92" s="591"/>
      <c r="B92" s="591"/>
      <c r="C92" s="592"/>
      <c r="D92" s="133"/>
      <c r="E92" s="133"/>
      <c r="F92" s="133"/>
      <c r="G92" s="133"/>
      <c r="H92" s="133"/>
      <c r="I92" s="133"/>
      <c r="J92" s="133"/>
      <c r="K92" s="133"/>
      <c r="L92" s="554"/>
      <c r="M92" s="554"/>
      <c r="N92" s="554"/>
      <c r="O92" s="133"/>
      <c r="P92" s="133"/>
      <c r="Q92" s="133"/>
      <c r="R92" s="133"/>
      <c r="S92" s="133"/>
      <c r="T92" s="547"/>
      <c r="U92" s="593"/>
      <c r="V92" s="690">
        <f t="shared" si="68"/>
        <v>0</v>
      </c>
      <c r="W92" s="557"/>
      <c r="X92" s="46"/>
    </row>
    <row r="93" spans="1:26" s="26" customFormat="1" x14ac:dyDescent="0.25">
      <c r="A93" s="512" t="s">
        <v>242</v>
      </c>
      <c r="B93" s="513" t="s">
        <v>243</v>
      </c>
      <c r="C93" s="130">
        <f>SUM(C94:C94)</f>
        <v>0</v>
      </c>
      <c r="D93" s="130">
        <f>SUM(D94:D94)</f>
        <v>0</v>
      </c>
      <c r="E93" s="130">
        <f>SUM(E94:E94)</f>
        <v>0</v>
      </c>
      <c r="F93" s="130">
        <f>SUM(F94:F94)</f>
        <v>0</v>
      </c>
      <c r="G93" s="130"/>
      <c r="H93" s="130">
        <f>SUM(H94:H94)</f>
        <v>0</v>
      </c>
      <c r="I93" s="130">
        <f>SUM(I94:I94)</f>
        <v>0</v>
      </c>
      <c r="J93" s="130">
        <f>SUM(J94:J94)</f>
        <v>0</v>
      </c>
      <c r="K93" s="130"/>
      <c r="L93" s="514">
        <f t="shared" si="65"/>
        <v>0</v>
      </c>
      <c r="M93" s="514">
        <f t="shared" si="66"/>
        <v>0</v>
      </c>
      <c r="N93" s="514">
        <f t="shared" si="67"/>
        <v>0</v>
      </c>
      <c r="O93" s="909"/>
      <c r="P93" s="130">
        <f t="shared" ref="P93:P94" si="82">+(D93-C93)*P$10</f>
        <v>0</v>
      </c>
      <c r="Q93" s="130">
        <f t="shared" ref="Q93:Q94" si="83">+(E93-D93)*Q$10</f>
        <v>0</v>
      </c>
      <c r="R93" s="130">
        <f t="shared" ref="R93:R94" si="84">+(F93-E93)*R$10</f>
        <v>0</v>
      </c>
      <c r="S93" s="130">
        <f t="shared" ref="S93:S94" si="85">SUM(P93:R93)</f>
        <v>0</v>
      </c>
      <c r="T93" s="925">
        <f t="shared" ref="T93:T94" si="86">IF(C93=0,0,+S93/C93)</f>
        <v>0</v>
      </c>
      <c r="U93" s="565"/>
      <c r="V93" s="690">
        <f t="shared" si="68"/>
        <v>0</v>
      </c>
      <c r="W93" s="921"/>
      <c r="X93" s="50"/>
    </row>
    <row r="94" spans="1:26" x14ac:dyDescent="0.25">
      <c r="A94" s="527"/>
      <c r="B94" s="533"/>
      <c r="C94" s="520"/>
      <c r="D94" s="520"/>
      <c r="E94" s="924"/>
      <c r="F94" s="132"/>
      <c r="G94" s="588"/>
      <c r="H94" s="125"/>
      <c r="I94" s="125"/>
      <c r="J94" s="125"/>
      <c r="K94" s="588"/>
      <c r="L94" s="518"/>
      <c r="M94" s="518"/>
      <c r="N94" s="518"/>
      <c r="O94" s="152"/>
      <c r="P94" s="503">
        <f t="shared" si="82"/>
        <v>0</v>
      </c>
      <c r="Q94" s="503">
        <f t="shared" si="83"/>
        <v>0</v>
      </c>
      <c r="R94" s="503">
        <f t="shared" si="84"/>
        <v>0</v>
      </c>
      <c r="S94" s="503">
        <f t="shared" si="85"/>
        <v>0</v>
      </c>
      <c r="T94" s="514">
        <f t="shared" si="86"/>
        <v>0</v>
      </c>
      <c r="U94" s="152"/>
      <c r="V94" s="690">
        <f t="shared" si="68"/>
        <v>0</v>
      </c>
      <c r="W94" s="557"/>
      <c r="X94" s="46"/>
    </row>
    <row r="95" spans="1:26" s="26" customFormat="1" x14ac:dyDescent="0.25">
      <c r="A95" s="512" t="s">
        <v>285</v>
      </c>
      <c r="B95" s="513" t="s">
        <v>286</v>
      </c>
      <c r="C95" s="130">
        <f>SUM(C96:C98)</f>
        <v>8041000</v>
      </c>
      <c r="D95" s="130">
        <f>SUM(D96:D98)</f>
        <v>8041000</v>
      </c>
      <c r="E95" s="130">
        <f>SUM(E96:E98)</f>
        <v>8041000</v>
      </c>
      <c r="F95" s="130">
        <f>SUM(F96:F98)</f>
        <v>6491971</v>
      </c>
      <c r="G95" s="130"/>
      <c r="H95" s="130">
        <f>SUM(H96:H98)</f>
        <v>3200907</v>
      </c>
      <c r="I95" s="130">
        <f>+I96+I97+I98</f>
        <v>4942170</v>
      </c>
      <c r="J95" s="130">
        <f>+J96+J97+J98</f>
        <v>6481102</v>
      </c>
      <c r="K95" s="130"/>
      <c r="L95" s="514">
        <f t="shared" si="65"/>
        <v>0.39807324959582141</v>
      </c>
      <c r="M95" s="514">
        <f t="shared" si="66"/>
        <v>0.61462131575674672</v>
      </c>
      <c r="N95" s="514">
        <f t="shared" si="67"/>
        <v>0.80600696430792185</v>
      </c>
      <c r="O95" s="909"/>
      <c r="P95" s="130">
        <f t="shared" ref="P95:R102" si="87">+(D95-C95)*P$10</f>
        <v>0</v>
      </c>
      <c r="Q95" s="130">
        <f t="shared" si="87"/>
        <v>0</v>
      </c>
      <c r="R95" s="130">
        <f t="shared" si="87"/>
        <v>-1549029</v>
      </c>
      <c r="S95" s="130">
        <f t="shared" ref="S95" si="88">SUM(P95:R95)</f>
        <v>-1549029</v>
      </c>
      <c r="T95" s="925">
        <f t="shared" ref="T95:T102" si="89">IF(C95=0,0,+S95/C95)</f>
        <v>-0.19264133814202214</v>
      </c>
      <c r="U95" s="565"/>
      <c r="V95" s="690">
        <f t="shared" si="68"/>
        <v>0</v>
      </c>
      <c r="W95" s="921"/>
      <c r="X95" s="50"/>
    </row>
    <row r="96" spans="1:26" x14ac:dyDescent="0.25">
      <c r="A96" s="527" t="s">
        <v>296</v>
      </c>
      <c r="B96" s="533" t="s">
        <v>297</v>
      </c>
      <c r="C96" s="132">
        <v>6740000</v>
      </c>
      <c r="D96" s="132">
        <v>6740000</v>
      </c>
      <c r="E96" s="924">
        <v>6740000</v>
      </c>
      <c r="F96" s="132">
        <v>5590000</v>
      </c>
      <c r="G96" s="588"/>
      <c r="H96" s="125">
        <v>2728585</v>
      </c>
      <c r="I96" s="125">
        <v>4203647</v>
      </c>
      <c r="J96" s="125">
        <v>5524764</v>
      </c>
      <c r="K96" s="588"/>
      <c r="L96" s="518">
        <f t="shared" si="65"/>
        <v>0.40483456973293769</v>
      </c>
      <c r="M96" s="518">
        <f t="shared" si="66"/>
        <v>0.62368649851632052</v>
      </c>
      <c r="N96" s="518">
        <f t="shared" si="67"/>
        <v>0.81969792284866472</v>
      </c>
      <c r="O96" s="152"/>
      <c r="P96" s="503">
        <f t="shared" si="87"/>
        <v>0</v>
      </c>
      <c r="Q96" s="503">
        <f t="shared" si="87"/>
        <v>0</v>
      </c>
      <c r="R96" s="503">
        <f t="shared" si="87"/>
        <v>-1150000</v>
      </c>
      <c r="S96" s="503">
        <f t="shared" ref="S96" si="90">SUM(P96:R96)</f>
        <v>-1150000</v>
      </c>
      <c r="T96" s="514">
        <f t="shared" si="89"/>
        <v>-0.17062314540059348</v>
      </c>
      <c r="U96" s="152"/>
      <c r="V96" s="690">
        <f t="shared" si="68"/>
        <v>0</v>
      </c>
      <c r="W96" s="557"/>
      <c r="X96" s="46"/>
    </row>
    <row r="97" spans="1:24" x14ac:dyDescent="0.25">
      <c r="A97" s="527" t="s">
        <v>299</v>
      </c>
      <c r="B97" s="533" t="s">
        <v>300</v>
      </c>
      <c r="C97" s="132">
        <v>1300000</v>
      </c>
      <c r="D97" s="132">
        <v>1300000</v>
      </c>
      <c r="E97" s="520">
        <v>1300000</v>
      </c>
      <c r="F97" s="132">
        <v>897975</v>
      </c>
      <c r="G97" s="588"/>
      <c r="H97" s="125">
        <v>470540</v>
      </c>
      <c r="I97" s="125">
        <v>736213</v>
      </c>
      <c r="J97" s="125">
        <v>953195</v>
      </c>
      <c r="K97" s="588"/>
      <c r="L97" s="518">
        <f t="shared" si="65"/>
        <v>0.36195384615384618</v>
      </c>
      <c r="M97" s="518">
        <f t="shared" si="66"/>
        <v>0.56631769230769236</v>
      </c>
      <c r="N97" s="518">
        <f t="shared" si="67"/>
        <v>0.73322692307692305</v>
      </c>
      <c r="O97" s="152"/>
      <c r="P97" s="503">
        <f t="shared" si="87"/>
        <v>0</v>
      </c>
      <c r="Q97" s="503">
        <f t="shared" si="87"/>
        <v>0</v>
      </c>
      <c r="R97" s="503">
        <f t="shared" si="87"/>
        <v>-402025</v>
      </c>
      <c r="S97" s="503">
        <f t="shared" ref="S97:S102" si="91">SUM(P97:R97)</f>
        <v>-402025</v>
      </c>
      <c r="T97" s="514">
        <f t="shared" si="89"/>
        <v>-0.30925000000000002</v>
      </c>
      <c r="U97" s="152"/>
      <c r="V97" s="690">
        <f t="shared" si="68"/>
        <v>0</v>
      </c>
      <c r="W97" s="557"/>
      <c r="X97" s="46"/>
    </row>
    <row r="98" spans="1:24" x14ac:dyDescent="0.25">
      <c r="A98" s="534" t="s">
        <v>470</v>
      </c>
      <c r="B98" s="530" t="s">
        <v>469</v>
      </c>
      <c r="C98" s="132">
        <v>1000</v>
      </c>
      <c r="D98" s="132">
        <v>1000</v>
      </c>
      <c r="E98" s="520">
        <v>1000</v>
      </c>
      <c r="F98" s="132">
        <f>1000+2996</f>
        <v>3996</v>
      </c>
      <c r="G98" s="588"/>
      <c r="H98" s="125">
        <f>48+1734</f>
        <v>1782</v>
      </c>
      <c r="I98" s="125">
        <f>2207+103</f>
        <v>2310</v>
      </c>
      <c r="J98" s="125">
        <f>147+2996</f>
        <v>3143</v>
      </c>
      <c r="K98" s="588"/>
      <c r="L98" s="518">
        <f t="shared" si="65"/>
        <v>1.782</v>
      </c>
      <c r="M98" s="518">
        <f t="shared" si="66"/>
        <v>2.31</v>
      </c>
      <c r="N98" s="518">
        <f t="shared" si="67"/>
        <v>3.1429999999999998</v>
      </c>
      <c r="O98" s="152"/>
      <c r="P98" s="503">
        <f t="shared" si="87"/>
        <v>0</v>
      </c>
      <c r="Q98" s="503">
        <f t="shared" si="87"/>
        <v>0</v>
      </c>
      <c r="R98" s="503">
        <f t="shared" si="87"/>
        <v>2996</v>
      </c>
      <c r="S98" s="503">
        <f t="shared" si="91"/>
        <v>2996</v>
      </c>
      <c r="T98" s="514">
        <f t="shared" si="89"/>
        <v>2.996</v>
      </c>
      <c r="U98" s="152"/>
      <c r="V98" s="690">
        <f t="shared" si="68"/>
        <v>0</v>
      </c>
      <c r="W98" s="557"/>
      <c r="X98" s="46"/>
    </row>
    <row r="99" spans="1:24" s="26" customFormat="1" x14ac:dyDescent="0.25">
      <c r="A99" s="512" t="s">
        <v>335</v>
      </c>
      <c r="B99" s="513" t="s">
        <v>336</v>
      </c>
      <c r="C99" s="130">
        <f>SUM(C100:C101)</f>
        <v>29206962</v>
      </c>
      <c r="D99" s="130">
        <f t="shared" ref="D99:F99" si="92">SUM(D100:D101)</f>
        <v>29206962</v>
      </c>
      <c r="E99" s="638">
        <f t="shared" si="92"/>
        <v>29206962</v>
      </c>
      <c r="F99" s="130">
        <f t="shared" si="92"/>
        <v>30755991</v>
      </c>
      <c r="G99" s="130"/>
      <c r="H99" s="130">
        <f t="shared" ref="H99" si="93">SUM(H100:H101)</f>
        <v>17977443</v>
      </c>
      <c r="I99" s="130">
        <f t="shared" ref="I99" si="94">SUM(I100:I101)</f>
        <v>24400995</v>
      </c>
      <c r="J99" s="130">
        <f t="shared" ref="J99" si="95">SUM(J100:J101)</f>
        <v>30755991</v>
      </c>
      <c r="K99" s="130"/>
      <c r="L99" s="514">
        <f t="shared" si="65"/>
        <v>0.6155191012334662</v>
      </c>
      <c r="M99" s="514">
        <f t="shared" si="66"/>
        <v>0.83545132150341417</v>
      </c>
      <c r="N99" s="514">
        <f t="shared" si="67"/>
        <v>1.0530362931961221</v>
      </c>
      <c r="O99" s="909"/>
      <c r="P99" s="130">
        <f t="shared" si="87"/>
        <v>0</v>
      </c>
      <c r="Q99" s="130">
        <f t="shared" si="87"/>
        <v>0</v>
      </c>
      <c r="R99" s="130">
        <f t="shared" si="87"/>
        <v>1549029</v>
      </c>
      <c r="S99" s="130">
        <f t="shared" si="91"/>
        <v>1549029</v>
      </c>
      <c r="T99" s="925">
        <f t="shared" si="89"/>
        <v>5.3036293196122214E-2</v>
      </c>
      <c r="U99" s="565"/>
      <c r="V99" s="690">
        <f t="shared" si="68"/>
        <v>0</v>
      </c>
      <c r="W99" s="921"/>
      <c r="X99" s="50"/>
    </row>
    <row r="100" spans="1:24" x14ac:dyDescent="0.25">
      <c r="A100" s="527" t="s">
        <v>361</v>
      </c>
      <c r="B100" s="533" t="s">
        <v>393</v>
      </c>
      <c r="C100" s="132">
        <f>+C105</f>
        <v>27645188</v>
      </c>
      <c r="D100" s="132">
        <v>27645188</v>
      </c>
      <c r="E100" s="132">
        <v>27645188</v>
      </c>
      <c r="F100" s="132">
        <v>29194217</v>
      </c>
      <c r="G100" s="588"/>
      <c r="H100" s="125">
        <v>16415669</v>
      </c>
      <c r="I100" s="125">
        <v>22839221</v>
      </c>
      <c r="J100" s="125">
        <v>29194217</v>
      </c>
      <c r="K100" s="588"/>
      <c r="L100" s="518">
        <f t="shared" si="65"/>
        <v>0.59379842162766261</v>
      </c>
      <c r="M100" s="518">
        <f t="shared" si="66"/>
        <v>0.82615538733178451</v>
      </c>
      <c r="N100" s="518">
        <f t="shared" si="67"/>
        <v>1.0560325001226254</v>
      </c>
      <c r="O100" s="152"/>
      <c r="P100" s="503">
        <f t="shared" si="87"/>
        <v>0</v>
      </c>
      <c r="Q100" s="503">
        <f t="shared" si="87"/>
        <v>0</v>
      </c>
      <c r="R100" s="503">
        <f t="shared" si="87"/>
        <v>1549029</v>
      </c>
      <c r="S100" s="503">
        <f t="shared" si="91"/>
        <v>1549029</v>
      </c>
      <c r="T100" s="514">
        <f t="shared" si="89"/>
        <v>5.6032500122625319E-2</v>
      </c>
      <c r="U100" s="152"/>
      <c r="V100" s="690">
        <f t="shared" si="68"/>
        <v>0</v>
      </c>
      <c r="W100" s="557"/>
      <c r="X100" s="46"/>
    </row>
    <row r="101" spans="1:24" ht="15.75" customHeight="1" x14ac:dyDescent="0.25">
      <c r="A101" s="527" t="s">
        <v>349</v>
      </c>
      <c r="B101" s="533" t="s">
        <v>350</v>
      </c>
      <c r="C101" s="170">
        <v>1561774</v>
      </c>
      <c r="D101" s="170">
        <v>1561774</v>
      </c>
      <c r="E101" s="170">
        <v>1561774</v>
      </c>
      <c r="F101" s="64">
        <v>1561774</v>
      </c>
      <c r="G101" s="125"/>
      <c r="H101" s="125">
        <v>1561774</v>
      </c>
      <c r="I101" s="125">
        <v>1561774</v>
      </c>
      <c r="J101" s="125">
        <v>1561774</v>
      </c>
      <c r="K101" s="125"/>
      <c r="L101" s="518">
        <f t="shared" si="65"/>
        <v>1</v>
      </c>
      <c r="M101" s="518">
        <f t="shared" si="66"/>
        <v>1</v>
      </c>
      <c r="N101" s="518">
        <f t="shared" si="67"/>
        <v>1</v>
      </c>
      <c r="O101" s="917"/>
      <c r="P101" s="503">
        <f t="shared" si="87"/>
        <v>0</v>
      </c>
      <c r="Q101" s="503">
        <f t="shared" si="87"/>
        <v>0</v>
      </c>
      <c r="R101" s="503">
        <f t="shared" si="87"/>
        <v>0</v>
      </c>
      <c r="S101" s="503">
        <f t="shared" si="91"/>
        <v>0</v>
      </c>
      <c r="T101" s="514">
        <f t="shared" si="89"/>
        <v>0</v>
      </c>
      <c r="U101" s="917"/>
      <c r="V101" s="690">
        <f t="shared" si="68"/>
        <v>0</v>
      </c>
      <c r="W101" s="557"/>
      <c r="X101" s="46"/>
    </row>
    <row r="102" spans="1:24" x14ac:dyDescent="0.25">
      <c r="A102" s="149"/>
      <c r="B102" s="149" t="s">
        <v>379</v>
      </c>
      <c r="C102" s="128">
        <f>+C95+C99+C93</f>
        <v>37247962</v>
      </c>
      <c r="D102" s="128">
        <f>+D95+D99+D93</f>
        <v>37247962</v>
      </c>
      <c r="E102" s="128">
        <f>+E95+E99+E93</f>
        <v>37247962</v>
      </c>
      <c r="F102" s="128">
        <f>+F95+F99+F93</f>
        <v>37247962</v>
      </c>
      <c r="G102" s="128"/>
      <c r="H102" s="128">
        <f>+H95+H99+H93</f>
        <v>21178350</v>
      </c>
      <c r="I102" s="128">
        <f>+I95+I99+I93</f>
        <v>29343165</v>
      </c>
      <c r="J102" s="128">
        <f>+J95+J99+J93</f>
        <v>37237093</v>
      </c>
      <c r="K102" s="128"/>
      <c r="L102" s="514">
        <f t="shared" si="65"/>
        <v>0.56857741639663395</v>
      </c>
      <c r="M102" s="514">
        <f t="shared" si="66"/>
        <v>0.78777907365777489</v>
      </c>
      <c r="N102" s="514">
        <f t="shared" si="67"/>
        <v>0.99970819880024575</v>
      </c>
      <c r="O102" s="909"/>
      <c r="P102" s="128">
        <f t="shared" si="87"/>
        <v>0</v>
      </c>
      <c r="Q102" s="128">
        <f t="shared" si="87"/>
        <v>0</v>
      </c>
      <c r="R102" s="128">
        <f t="shared" si="87"/>
        <v>0</v>
      </c>
      <c r="S102" s="128">
        <f t="shared" si="91"/>
        <v>0</v>
      </c>
      <c r="T102" s="514">
        <f t="shared" si="89"/>
        <v>0</v>
      </c>
      <c r="U102" s="565"/>
      <c r="V102" s="691">
        <f t="shared" si="68"/>
        <v>0</v>
      </c>
      <c r="W102" s="557"/>
      <c r="X102" s="46"/>
    </row>
    <row r="103" spans="1:24" x14ac:dyDescent="0.25">
      <c r="A103" s="591"/>
      <c r="B103" s="591"/>
      <c r="C103" s="592"/>
      <c r="D103" s="133"/>
      <c r="E103" s="133"/>
      <c r="F103" s="133"/>
      <c r="G103" s="133"/>
      <c r="H103" s="133"/>
      <c r="I103" s="133"/>
      <c r="J103" s="133"/>
      <c r="K103" s="133"/>
      <c r="L103" s="537"/>
      <c r="M103" s="537"/>
      <c r="N103" s="537"/>
      <c r="O103" s="537"/>
      <c r="P103" s="133"/>
      <c r="Q103" s="133"/>
      <c r="R103" s="133"/>
      <c r="S103" s="133"/>
      <c r="T103" s="133"/>
      <c r="U103" s="537"/>
      <c r="V103" s="537"/>
      <c r="W103" s="557"/>
      <c r="X103" s="46"/>
    </row>
    <row r="104" spans="1:24" x14ac:dyDescent="0.25">
      <c r="B104" s="17"/>
      <c r="C104" s="42"/>
      <c r="D104" s="43"/>
      <c r="E104" s="43"/>
      <c r="F104" s="43"/>
      <c r="G104" s="43"/>
      <c r="H104" s="43"/>
      <c r="I104" s="43"/>
      <c r="J104" s="43"/>
      <c r="K104" s="43"/>
      <c r="L104" s="13"/>
      <c r="M104" s="13"/>
      <c r="N104" s="13"/>
      <c r="O104" s="13"/>
      <c r="P104" s="43"/>
      <c r="Q104" s="43"/>
      <c r="R104" s="43"/>
      <c r="S104" s="43"/>
      <c r="T104" s="43"/>
      <c r="U104" s="13"/>
      <c r="V104" s="13"/>
      <c r="W104" s="46"/>
      <c r="X104" s="46"/>
    </row>
    <row r="105" spans="1:24" x14ac:dyDescent="0.25">
      <c r="B105" s="17"/>
      <c r="C105" s="42">
        <f>+C89-C95-C101</f>
        <v>27645188</v>
      </c>
      <c r="D105" s="43"/>
      <c r="E105" s="43"/>
      <c r="F105" s="43"/>
      <c r="G105" s="43"/>
      <c r="H105" s="43"/>
      <c r="I105" s="43"/>
      <c r="J105" s="43"/>
      <c r="K105" s="43"/>
      <c r="P105" s="43"/>
      <c r="Q105" s="43"/>
      <c r="R105" s="43"/>
      <c r="S105" s="43"/>
      <c r="T105" s="43"/>
      <c r="W105" s="46"/>
      <c r="X105" s="46"/>
    </row>
    <row r="106" spans="1:24" x14ac:dyDescent="0.25">
      <c r="B106" s="17"/>
      <c r="C106" s="42"/>
      <c r="D106" s="43"/>
      <c r="E106" s="43"/>
      <c r="F106" s="43"/>
      <c r="G106" s="43"/>
      <c r="H106" s="43"/>
      <c r="I106" s="43"/>
      <c r="J106" s="43"/>
      <c r="K106" s="43"/>
    </row>
    <row r="107" spans="1:24" ht="26.4" x14ac:dyDescent="0.25">
      <c r="A107" s="168"/>
      <c r="B107" s="177" t="s">
        <v>504</v>
      </c>
      <c r="C107" s="178">
        <f>5440000+2768000+25000+4950000+1526000</f>
        <v>14709000</v>
      </c>
      <c r="D107" s="43"/>
      <c r="E107" s="43"/>
      <c r="F107" s="43"/>
      <c r="G107" s="43"/>
      <c r="H107" s="43"/>
      <c r="K107" s="43"/>
    </row>
    <row r="108" spans="1:24" ht="39.6" x14ac:dyDescent="0.25">
      <c r="A108" s="18"/>
      <c r="B108" s="168" t="s">
        <v>503</v>
      </c>
      <c r="C108" s="42">
        <v>53188000</v>
      </c>
      <c r="D108" s="43">
        <f>+C105-C107</f>
        <v>12936188</v>
      </c>
      <c r="E108" s="43"/>
      <c r="F108" s="43"/>
      <c r="G108" s="43"/>
      <c r="H108" s="43"/>
      <c r="K108" s="43"/>
    </row>
    <row r="109" spans="1:24" x14ac:dyDescent="0.25">
      <c r="B109" s="17"/>
      <c r="C109" s="42"/>
      <c r="D109" s="43"/>
      <c r="E109" s="43"/>
      <c r="F109" s="43"/>
      <c r="G109" s="43"/>
      <c r="H109" s="43"/>
      <c r="K109" s="43"/>
    </row>
    <row r="110" spans="1:24" x14ac:dyDescent="0.25">
      <c r="B110" s="17"/>
      <c r="C110" s="42"/>
      <c r="D110" s="43"/>
      <c r="E110" s="43"/>
      <c r="F110" s="43"/>
      <c r="G110" s="43"/>
      <c r="H110" s="43"/>
      <c r="K110" s="43"/>
    </row>
    <row r="111" spans="1:24" x14ac:dyDescent="0.25">
      <c r="B111" s="17"/>
      <c r="C111" s="42"/>
      <c r="D111" s="43"/>
      <c r="E111" s="43"/>
      <c r="F111" s="43"/>
      <c r="G111" s="43"/>
      <c r="H111" s="43"/>
      <c r="K111" s="43"/>
    </row>
    <row r="112" spans="1:24" x14ac:dyDescent="0.25">
      <c r="B112" s="17"/>
      <c r="C112" s="42"/>
      <c r="D112" s="43"/>
      <c r="E112" s="43"/>
      <c r="F112" s="43"/>
      <c r="G112" s="43"/>
      <c r="H112" s="43"/>
      <c r="K112" s="43"/>
    </row>
    <row r="113" spans="1:11" x14ac:dyDescent="0.25">
      <c r="C113" s="42"/>
      <c r="D113" s="43"/>
      <c r="E113" s="43"/>
      <c r="F113" s="43"/>
      <c r="G113" s="43"/>
      <c r="H113" s="43"/>
      <c r="K113" s="43"/>
    </row>
    <row r="114" spans="1:11" x14ac:dyDescent="0.25">
      <c r="A114" s="18"/>
      <c r="B114" s="18"/>
      <c r="C114" s="42"/>
      <c r="D114" s="43"/>
      <c r="E114" s="43"/>
      <c r="F114" s="43"/>
      <c r="G114" s="43"/>
      <c r="H114" s="43"/>
      <c r="K114" s="43"/>
    </row>
    <row r="115" spans="1:11" x14ac:dyDescent="0.25">
      <c r="B115" s="17"/>
      <c r="C115" s="42"/>
      <c r="D115" s="43"/>
      <c r="E115" s="43"/>
      <c r="F115" s="43"/>
      <c r="G115" s="43"/>
      <c r="H115" s="43"/>
      <c r="K115" s="43"/>
    </row>
    <row r="116" spans="1:11" x14ac:dyDescent="0.25">
      <c r="B116" s="17"/>
      <c r="C116" s="42"/>
      <c r="D116" s="43"/>
      <c r="E116" s="43"/>
      <c r="F116" s="43"/>
      <c r="G116" s="43"/>
      <c r="H116" s="43"/>
      <c r="K116" s="43"/>
    </row>
    <row r="117" spans="1:11" x14ac:dyDescent="0.25">
      <c r="B117" s="17"/>
      <c r="C117" s="42"/>
      <c r="D117" s="43"/>
      <c r="E117" s="43"/>
      <c r="F117" s="43"/>
      <c r="G117" s="43"/>
      <c r="H117" s="43"/>
      <c r="K117" s="43"/>
    </row>
    <row r="118" spans="1:11" x14ac:dyDescent="0.25">
      <c r="B118" s="17"/>
      <c r="C118" s="42"/>
      <c r="D118" s="43"/>
      <c r="E118" s="43"/>
      <c r="F118" s="43"/>
      <c r="G118" s="43"/>
      <c r="H118" s="43"/>
      <c r="K118" s="43"/>
    </row>
    <row r="119" spans="1:11" x14ac:dyDescent="0.25">
      <c r="B119" s="17"/>
      <c r="C119" s="42"/>
      <c r="D119" s="43"/>
      <c r="E119" s="43"/>
      <c r="F119" s="43"/>
      <c r="G119" s="43"/>
      <c r="H119" s="43"/>
      <c r="K119" s="43"/>
    </row>
    <row r="120" spans="1:11" x14ac:dyDescent="0.25">
      <c r="B120" s="17"/>
      <c r="C120" s="42"/>
      <c r="D120" s="43"/>
      <c r="E120" s="43"/>
      <c r="F120" s="43"/>
      <c r="G120" s="43"/>
      <c r="H120" s="43"/>
      <c r="K120" s="43"/>
    </row>
    <row r="121" spans="1:11" x14ac:dyDescent="0.25">
      <c r="B121" s="17"/>
      <c r="C121" s="42"/>
      <c r="D121" s="43"/>
      <c r="E121" s="43"/>
      <c r="F121" s="43"/>
      <c r="G121" s="43"/>
      <c r="H121" s="43"/>
      <c r="K121" s="43"/>
    </row>
    <row r="122" spans="1:11" x14ac:dyDescent="0.25">
      <c r="B122" s="17"/>
      <c r="C122" s="42"/>
      <c r="D122" s="43"/>
      <c r="E122" s="43"/>
      <c r="F122" s="43"/>
      <c r="G122" s="43"/>
      <c r="H122" s="43"/>
      <c r="K122" s="43"/>
    </row>
    <row r="123" spans="1:11" x14ac:dyDescent="0.25">
      <c r="C123" s="42"/>
      <c r="D123" s="43"/>
      <c r="E123" s="43"/>
      <c r="F123" s="43"/>
      <c r="G123" s="43"/>
      <c r="H123" s="43"/>
      <c r="K123" s="43"/>
    </row>
    <row r="124" spans="1:11" x14ac:dyDescent="0.25">
      <c r="A124" s="18"/>
      <c r="B124" s="18"/>
      <c r="C124" s="42"/>
      <c r="D124" s="43"/>
      <c r="E124" s="43"/>
      <c r="F124" s="43"/>
      <c r="G124" s="43"/>
      <c r="H124" s="43"/>
      <c r="K124" s="43"/>
    </row>
    <row r="125" spans="1:11" x14ac:dyDescent="0.25">
      <c r="B125" s="17"/>
      <c r="C125" s="42"/>
      <c r="D125" s="43"/>
      <c r="E125" s="43"/>
      <c r="F125" s="43"/>
      <c r="G125" s="43"/>
      <c r="H125" s="43"/>
      <c r="K125" s="43"/>
    </row>
    <row r="126" spans="1:11" x14ac:dyDescent="0.25">
      <c r="B126" s="17"/>
      <c r="C126" s="42"/>
      <c r="D126" s="43"/>
      <c r="E126" s="43"/>
      <c r="F126" s="43"/>
      <c r="G126" s="43"/>
      <c r="H126" s="43"/>
      <c r="K126" s="43"/>
    </row>
    <row r="127" spans="1:11" x14ac:dyDescent="0.25">
      <c r="B127" s="17"/>
      <c r="C127" s="42"/>
      <c r="D127" s="43"/>
      <c r="E127" s="43"/>
      <c r="F127" s="43"/>
      <c r="G127" s="43"/>
      <c r="H127" s="43"/>
      <c r="K127" s="43"/>
    </row>
    <row r="128" spans="1:11" x14ac:dyDescent="0.25">
      <c r="B128" s="17"/>
      <c r="C128" s="42"/>
      <c r="D128" s="43"/>
      <c r="E128" s="43"/>
      <c r="F128" s="43"/>
      <c r="G128" s="43"/>
      <c r="H128" s="43"/>
      <c r="K128" s="43"/>
    </row>
    <row r="129" spans="2:11" x14ac:dyDescent="0.25">
      <c r="B129" s="17"/>
      <c r="C129" s="42"/>
      <c r="D129" s="43"/>
      <c r="E129" s="43"/>
      <c r="F129" s="43"/>
      <c r="G129" s="43"/>
      <c r="H129" s="43"/>
      <c r="K129" s="43"/>
    </row>
    <row r="130" spans="2:11" x14ac:dyDescent="0.25">
      <c r="B130" s="17"/>
      <c r="C130" s="42"/>
      <c r="D130" s="43"/>
      <c r="E130" s="43"/>
      <c r="F130" s="43"/>
      <c r="G130" s="43"/>
      <c r="H130" s="43"/>
      <c r="K130" s="43"/>
    </row>
    <row r="131" spans="2:11" x14ac:dyDescent="0.25">
      <c r="B131" s="17"/>
      <c r="C131" s="42"/>
      <c r="D131" s="43"/>
      <c r="E131" s="43"/>
      <c r="F131" s="43"/>
      <c r="G131" s="43"/>
      <c r="H131" s="43"/>
      <c r="K131" s="43"/>
    </row>
    <row r="132" spans="2:11" x14ac:dyDescent="0.25">
      <c r="B132" s="17"/>
    </row>
    <row r="133" spans="2:11" x14ac:dyDescent="0.25">
      <c r="B133" s="17"/>
    </row>
    <row r="134" spans="2:11" x14ac:dyDescent="0.25">
      <c r="B134" s="17"/>
    </row>
    <row r="135" spans="2:11" x14ac:dyDescent="0.25">
      <c r="B135" s="17"/>
    </row>
    <row r="136" spans="2:11" x14ac:dyDescent="0.25">
      <c r="B136" s="17"/>
    </row>
    <row r="137" spans="2:11" x14ac:dyDescent="0.25">
      <c r="B137" s="17"/>
    </row>
    <row r="138" spans="2:11" x14ac:dyDescent="0.25">
      <c r="B138" s="17"/>
    </row>
    <row r="139" spans="2:11" x14ac:dyDescent="0.25">
      <c r="B139" s="17"/>
    </row>
    <row r="140" spans="2:11" x14ac:dyDescent="0.25">
      <c r="B140" s="17"/>
    </row>
    <row r="141" spans="2:11" x14ac:dyDescent="0.25">
      <c r="B141" s="17"/>
    </row>
    <row r="142" spans="2:11" x14ac:dyDescent="0.25">
      <c r="B142" s="17"/>
    </row>
    <row r="143" spans="2:11" x14ac:dyDescent="0.25">
      <c r="B143" s="17"/>
    </row>
    <row r="144" spans="2:11" x14ac:dyDescent="0.25">
      <c r="B144" s="17"/>
    </row>
    <row r="145" spans="2:2" x14ac:dyDescent="0.25">
      <c r="B145" s="17"/>
    </row>
  </sheetData>
  <mergeCells count="5">
    <mergeCell ref="C9:F9"/>
    <mergeCell ref="P9:T9"/>
    <mergeCell ref="H9:N9"/>
    <mergeCell ref="H10:J10"/>
    <mergeCell ref="L10:N10"/>
  </mergeCells>
  <phoneticPr fontId="2" type="noConversion"/>
  <printOptions horizontalCentered="1"/>
  <pageMargins left="0" right="0" top="0.39370078740157483" bottom="0" header="0.51181102362204722" footer="0.51181102362204722"/>
  <pageSetup paperSize="9" scale="51" fitToHeight="0" orientation="landscape" r:id="rId1"/>
  <headerFooter alignWithMargins="0">
    <oddHeader>&amp;R&amp;"Arial,Félkövér dőlt"&amp;12&amp;A  /&amp;10
&amp;"Arial,Dőlt"&amp;F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9"/>
  <sheetViews>
    <sheetView view="pageBreakPreview" topLeftCell="H1" zoomScale="75" zoomScaleNormal="100" zoomScaleSheetLayoutView="75" workbookViewId="0">
      <selection activeCell="V3" sqref="V3:V4"/>
    </sheetView>
  </sheetViews>
  <sheetFormatPr defaultRowHeight="13.2" x14ac:dyDescent="0.25"/>
  <cols>
    <col min="1" max="1" width="6.44140625" style="9" bestFit="1" customWidth="1"/>
    <col min="2" max="2" width="57.44140625" style="9" customWidth="1"/>
    <col min="3" max="6" width="15.5546875" style="9" customWidth="1"/>
    <col min="7" max="7" width="0.6640625" style="9" customWidth="1"/>
    <col min="8" max="10" width="15.5546875" style="9" customWidth="1"/>
    <col min="11" max="11" width="0.6640625" style="9" customWidth="1"/>
    <col min="12" max="14" width="13.6640625" style="9" customWidth="1"/>
    <col min="15" max="15" width="0.6640625" style="9" customWidth="1"/>
    <col min="16" max="19" width="15.5546875" style="9" customWidth="1"/>
    <col min="20" max="20" width="7.33203125" style="9" customWidth="1"/>
    <col min="21" max="21" width="2.6640625" style="9" customWidth="1"/>
    <col min="22" max="22" width="3.44140625" style="9" customWidth="1"/>
    <col min="23" max="23" width="14.5546875" bestFit="1" customWidth="1"/>
    <col min="24" max="24" width="15.44140625" bestFit="1" customWidth="1"/>
  </cols>
  <sheetData>
    <row r="1" spans="1:26" ht="24.6" x14ac:dyDescent="0.25">
      <c r="A1" s="83" t="s">
        <v>471</v>
      </c>
      <c r="B1" s="489"/>
      <c r="C1" s="489"/>
      <c r="D1" s="489"/>
      <c r="E1" s="489"/>
      <c r="F1" s="489"/>
      <c r="G1" s="490"/>
      <c r="H1" s="491"/>
      <c r="I1" s="491"/>
      <c r="J1" s="492" t="str">
        <f>+'1. Sülysáp összesen'!J1</f>
        <v>2018. ÉV KÖLTSÉGVETÉS</v>
      </c>
      <c r="K1" s="83"/>
      <c r="L1" s="83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28"/>
      <c r="X1" s="28"/>
      <c r="Y1" s="28"/>
    </row>
    <row r="2" spans="1:26" x14ac:dyDescent="0.25">
      <c r="A2" s="557"/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8"/>
      <c r="W2" s="46"/>
      <c r="X2" s="46"/>
    </row>
    <row r="3" spans="1:26" x14ac:dyDescent="0.25">
      <c r="A3" s="557"/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687"/>
      <c r="W3" s="46"/>
      <c r="X3" s="46"/>
    </row>
    <row r="4" spans="1:26" x14ac:dyDescent="0.25">
      <c r="A4" s="559"/>
      <c r="B4" s="496"/>
      <c r="C4" s="560"/>
      <c r="D4" s="560"/>
      <c r="E4" s="560"/>
      <c r="F4" s="560"/>
      <c r="G4" s="560"/>
      <c r="H4" s="560"/>
      <c r="I4" s="560"/>
      <c r="J4" s="560"/>
      <c r="K4" s="560"/>
      <c r="L4" s="496"/>
      <c r="M4" s="496"/>
      <c r="N4" s="496"/>
      <c r="O4" s="496"/>
      <c r="P4" s="560"/>
      <c r="Q4" s="560"/>
      <c r="R4" s="560"/>
      <c r="S4" s="560"/>
      <c r="T4" s="560"/>
      <c r="U4" s="496"/>
      <c r="V4" s="692" t="str">
        <f>+'1. Sülysáp összesen'!V5</f>
        <v>F-oszlop</v>
      </c>
      <c r="W4" s="46"/>
      <c r="X4" s="46"/>
    </row>
    <row r="5" spans="1:26" ht="20.100000000000001" customHeight="1" x14ac:dyDescent="0.25">
      <c r="A5" s="561"/>
      <c r="B5" s="561" t="s">
        <v>380</v>
      </c>
      <c r="C5" s="562">
        <f>+C90</f>
        <v>196104000</v>
      </c>
      <c r="D5" s="562">
        <f t="shared" ref="D5:F5" si="0">+D90</f>
        <v>196104000</v>
      </c>
      <c r="E5" s="562">
        <f t="shared" si="0"/>
        <v>196104000</v>
      </c>
      <c r="F5" s="562">
        <f t="shared" si="0"/>
        <v>191301154</v>
      </c>
      <c r="G5" s="562"/>
      <c r="H5" s="562">
        <f t="shared" ref="H5:J5" si="1">+H90</f>
        <v>91559755</v>
      </c>
      <c r="I5" s="562">
        <f t="shared" si="1"/>
        <v>138427001</v>
      </c>
      <c r="J5" s="562">
        <f t="shared" si="1"/>
        <v>189739013</v>
      </c>
      <c r="K5" s="131"/>
      <c r="L5" s="563">
        <f>IF(C5=0,0,H5/C5)</f>
        <v>0.46689386753967282</v>
      </c>
      <c r="M5" s="563">
        <f>IF(D5=0,0,I5/D5)</f>
        <v>0.70588565761024757</v>
      </c>
      <c r="N5" s="563">
        <f>IF(E5=0,0,J5/E5)</f>
        <v>0.96754279871904703</v>
      </c>
      <c r="O5" s="909"/>
      <c r="P5" s="562">
        <f t="shared" ref="P5:S5" si="2">+P90</f>
        <v>0</v>
      </c>
      <c r="Q5" s="562">
        <f t="shared" si="2"/>
        <v>0</v>
      </c>
      <c r="R5" s="562">
        <f t="shared" si="2"/>
        <v>-4802846</v>
      </c>
      <c r="S5" s="562">
        <f t="shared" si="2"/>
        <v>-4802846</v>
      </c>
      <c r="T5" s="910">
        <f>IF(C5=0,0,+S5/C5)</f>
        <v>-2.44913209317505E-2</v>
      </c>
      <c r="U5" s="565"/>
      <c r="V5" s="688">
        <f t="shared" ref="V5:V7" si="3">+S5-F5+C5</f>
        <v>0</v>
      </c>
      <c r="W5" s="46"/>
      <c r="X5" s="46"/>
    </row>
    <row r="6" spans="1:26" ht="20.100000000000001" customHeight="1" x14ac:dyDescent="0.25">
      <c r="A6" s="566"/>
      <c r="B6" s="566" t="s">
        <v>379</v>
      </c>
      <c r="C6" s="567">
        <f>+C102</f>
        <v>196104000</v>
      </c>
      <c r="D6" s="567">
        <f t="shared" ref="D6:F6" si="4">+D102</f>
        <v>196104000</v>
      </c>
      <c r="E6" s="567">
        <f t="shared" si="4"/>
        <v>196104000</v>
      </c>
      <c r="F6" s="567">
        <f t="shared" si="4"/>
        <v>191301154</v>
      </c>
      <c r="G6" s="567"/>
      <c r="H6" s="567">
        <f t="shared" ref="H6:J6" si="5">+H102</f>
        <v>94797398</v>
      </c>
      <c r="I6" s="567">
        <f t="shared" si="5"/>
        <v>141180170</v>
      </c>
      <c r="J6" s="567">
        <f t="shared" si="5"/>
        <v>191301154</v>
      </c>
      <c r="K6" s="128"/>
      <c r="L6" s="563">
        <f t="shared" ref="L6:L7" si="6">IF(C6=0,0,H6/C6)</f>
        <v>0.48340369395830785</v>
      </c>
      <c r="M6" s="563">
        <f t="shared" ref="M6:M7" si="7">IF(D6=0,0,I6/D6)</f>
        <v>0.71992498878146294</v>
      </c>
      <c r="N6" s="563">
        <f t="shared" ref="N6:N7" si="8">IF(E6=0,0,J6/E6)</f>
        <v>0.97550867906824945</v>
      </c>
      <c r="O6" s="909"/>
      <c r="P6" s="567">
        <f t="shared" ref="P6:S6" si="9">+P102</f>
        <v>0</v>
      </c>
      <c r="Q6" s="567">
        <f t="shared" si="9"/>
        <v>0</v>
      </c>
      <c r="R6" s="567">
        <f t="shared" si="9"/>
        <v>-4802846</v>
      </c>
      <c r="S6" s="567">
        <f t="shared" si="9"/>
        <v>-4802846</v>
      </c>
      <c r="T6" s="909">
        <f>IF(C6=0,0,+S6/C6)</f>
        <v>-2.44913209317505E-2</v>
      </c>
      <c r="U6" s="565"/>
      <c r="V6" s="688">
        <f t="shared" si="3"/>
        <v>0</v>
      </c>
      <c r="W6" s="46"/>
      <c r="X6" s="46"/>
    </row>
    <row r="7" spans="1:26" ht="20.100000000000001" customHeight="1" x14ac:dyDescent="0.25">
      <c r="A7" s="566"/>
      <c r="B7" s="566" t="s">
        <v>416</v>
      </c>
      <c r="C7" s="567">
        <f>+C6-C5</f>
        <v>0</v>
      </c>
      <c r="D7" s="567">
        <f t="shared" ref="D7:H7" si="10">+D6-D5</f>
        <v>0</v>
      </c>
      <c r="E7" s="567">
        <f t="shared" si="10"/>
        <v>0</v>
      </c>
      <c r="F7" s="567">
        <f t="shared" si="10"/>
        <v>0</v>
      </c>
      <c r="G7" s="567"/>
      <c r="H7" s="567">
        <f t="shared" si="10"/>
        <v>3237643</v>
      </c>
      <c r="I7" s="567">
        <f>+I6-I5</f>
        <v>2753169</v>
      </c>
      <c r="J7" s="567">
        <f t="shared" ref="J7" si="11">+J6-J5</f>
        <v>1562141</v>
      </c>
      <c r="K7" s="128"/>
      <c r="L7" s="563">
        <f t="shared" si="6"/>
        <v>0</v>
      </c>
      <c r="M7" s="563">
        <f t="shared" si="7"/>
        <v>0</v>
      </c>
      <c r="N7" s="563">
        <f t="shared" si="8"/>
        <v>0</v>
      </c>
      <c r="O7" s="909"/>
      <c r="P7" s="567">
        <f t="shared" ref="P7:S7" si="12">+P6-P5</f>
        <v>0</v>
      </c>
      <c r="Q7" s="567">
        <f t="shared" si="12"/>
        <v>0</v>
      </c>
      <c r="R7" s="567">
        <f t="shared" si="12"/>
        <v>0</v>
      </c>
      <c r="S7" s="567">
        <f t="shared" si="12"/>
        <v>0</v>
      </c>
      <c r="T7" s="909">
        <f>IF(C7=0,0,+S7/C7)</f>
        <v>0</v>
      </c>
      <c r="U7" s="565"/>
      <c r="V7" s="688">
        <f t="shared" si="3"/>
        <v>0</v>
      </c>
      <c r="W7" s="46"/>
      <c r="X7" s="46"/>
    </row>
    <row r="8" spans="1:26" x14ac:dyDescent="0.25">
      <c r="A8" s="568"/>
      <c r="B8" s="569"/>
      <c r="C8" s="570"/>
      <c r="D8" s="571"/>
      <c r="E8" s="571"/>
      <c r="F8" s="571"/>
      <c r="G8" s="572"/>
      <c r="H8" s="572"/>
      <c r="I8" s="572"/>
      <c r="J8" s="572"/>
      <c r="K8" s="572"/>
      <c r="L8" s="518"/>
      <c r="M8" s="518"/>
      <c r="N8" s="518"/>
      <c r="O8" s="152"/>
      <c r="P8" s="503"/>
      <c r="Q8" s="503"/>
      <c r="R8" s="503"/>
      <c r="S8" s="503"/>
      <c r="T8" s="511"/>
      <c r="U8" s="152"/>
      <c r="V8" s="690"/>
      <c r="W8" s="46"/>
      <c r="X8" s="46"/>
    </row>
    <row r="9" spans="1:26" ht="15.6" x14ac:dyDescent="0.25">
      <c r="A9" s="573"/>
      <c r="B9" s="574"/>
      <c r="C9" s="1093" t="s">
        <v>415</v>
      </c>
      <c r="D9" s="1116"/>
      <c r="E9" s="1116"/>
      <c r="F9" s="1117"/>
      <c r="G9" s="575"/>
      <c r="H9" s="1093" t="s">
        <v>414</v>
      </c>
      <c r="I9" s="1116"/>
      <c r="J9" s="1116"/>
      <c r="K9" s="1116"/>
      <c r="L9" s="1116"/>
      <c r="M9" s="1116"/>
      <c r="N9" s="1117"/>
      <c r="O9" s="575"/>
      <c r="P9" s="1093" t="s">
        <v>411</v>
      </c>
      <c r="Q9" s="1116"/>
      <c r="R9" s="1116"/>
      <c r="S9" s="1116"/>
      <c r="T9" s="1117"/>
      <c r="U9" s="576"/>
      <c r="V9" s="690"/>
      <c r="W9" s="46"/>
      <c r="X9" s="46"/>
    </row>
    <row r="10" spans="1:26" x14ac:dyDescent="0.25">
      <c r="A10" s="559"/>
      <c r="B10" s="496"/>
      <c r="C10" s="577"/>
      <c r="D10" s="560"/>
      <c r="E10" s="560"/>
      <c r="F10" s="578"/>
      <c r="G10" s="61"/>
      <c r="H10" s="1096" t="s">
        <v>424</v>
      </c>
      <c r="I10" s="1118"/>
      <c r="J10" s="1119"/>
      <c r="K10" s="61"/>
      <c r="L10" s="1096" t="s">
        <v>423</v>
      </c>
      <c r="M10" s="1118"/>
      <c r="N10" s="1119"/>
      <c r="O10" s="911"/>
      <c r="P10" s="579">
        <f>+' 2. Önk. Bevételek'!P8</f>
        <v>1</v>
      </c>
      <c r="Q10" s="579">
        <f>+' 2. Önk. Bevételek'!Q8</f>
        <v>1</v>
      </c>
      <c r="R10" s="579">
        <f>+' 2. Önk. Bevételek'!R8</f>
        <v>1</v>
      </c>
      <c r="S10" s="579"/>
      <c r="T10" s="579"/>
      <c r="U10" s="580"/>
      <c r="V10" s="581"/>
      <c r="W10" s="51"/>
      <c r="X10" s="51"/>
      <c r="Y10" s="51"/>
      <c r="Z10" s="51"/>
    </row>
    <row r="11" spans="1:26" ht="71.400000000000006" x14ac:dyDescent="0.25">
      <c r="A11" s="19" t="s">
        <v>375</v>
      </c>
      <c r="B11" s="19" t="s">
        <v>373</v>
      </c>
      <c r="C11" s="163" t="s">
        <v>484</v>
      </c>
      <c r="D11" s="141" t="s">
        <v>485</v>
      </c>
      <c r="E11" s="141" t="s">
        <v>486</v>
      </c>
      <c r="F11" s="164" t="s">
        <v>487</v>
      </c>
      <c r="G11" s="141"/>
      <c r="H11" s="160" t="s">
        <v>497</v>
      </c>
      <c r="I11" s="142" t="s">
        <v>498</v>
      </c>
      <c r="J11" s="142" t="s">
        <v>499</v>
      </c>
      <c r="K11" s="141"/>
      <c r="L11" s="143" t="s">
        <v>500</v>
      </c>
      <c r="M11" s="143" t="s">
        <v>502</v>
      </c>
      <c r="N11" s="161" t="s">
        <v>501</v>
      </c>
      <c r="O11" s="141"/>
      <c r="P11" s="160" t="s">
        <v>494</v>
      </c>
      <c r="Q11" s="142" t="s">
        <v>495</v>
      </c>
      <c r="R11" s="142" t="s">
        <v>496</v>
      </c>
      <c r="S11" s="142" t="s">
        <v>412</v>
      </c>
      <c r="T11" s="161" t="s">
        <v>413</v>
      </c>
      <c r="U11" s="74"/>
      <c r="V11" s="52" t="s">
        <v>417</v>
      </c>
      <c r="W11" s="46"/>
      <c r="X11" s="46"/>
    </row>
    <row r="12" spans="1:26" x14ac:dyDescent="0.25">
      <c r="A12" s="527"/>
      <c r="B12" s="533"/>
      <c r="C12" s="64"/>
      <c r="D12" s="64"/>
      <c r="E12" s="64"/>
      <c r="F12" s="64"/>
      <c r="G12" s="64"/>
      <c r="H12" s="64"/>
      <c r="I12" s="64"/>
      <c r="J12" s="64"/>
      <c r="K12" s="64"/>
      <c r="L12" s="584"/>
      <c r="M12" s="527"/>
      <c r="N12" s="584"/>
      <c r="O12" s="64"/>
      <c r="P12" s="64"/>
      <c r="Q12" s="64"/>
      <c r="R12" s="64"/>
      <c r="S12" s="64"/>
      <c r="T12" s="64"/>
      <c r="U12" s="64"/>
      <c r="V12" s="972"/>
    </row>
    <row r="13" spans="1:26" x14ac:dyDescent="0.25">
      <c r="A13" s="959" t="s">
        <v>0</v>
      </c>
      <c r="B13" s="959" t="s">
        <v>3</v>
      </c>
      <c r="C13" s="542">
        <f>SUM(C15:C29)</f>
        <v>148459000</v>
      </c>
      <c r="D13" s="542">
        <f t="shared" ref="D13:J13" si="13">SUM(D15:D29)</f>
        <v>148459000</v>
      </c>
      <c r="E13" s="542">
        <f t="shared" si="13"/>
        <v>148459000</v>
      </c>
      <c r="F13" s="542">
        <f t="shared" si="13"/>
        <v>145306971</v>
      </c>
      <c r="G13" s="542"/>
      <c r="H13" s="542">
        <f t="shared" si="13"/>
        <v>68859120</v>
      </c>
      <c r="I13" s="542">
        <f t="shared" si="13"/>
        <v>105554261</v>
      </c>
      <c r="J13" s="542">
        <f t="shared" si="13"/>
        <v>145306971</v>
      </c>
      <c r="K13" s="542">
        <f t="shared" ref="K13" si="14">SUM(K15:K28)</f>
        <v>0</v>
      </c>
      <c r="L13" s="979">
        <f t="shared" ref="L13:L76" si="15">IF(C13=0,0,H13/C13)</f>
        <v>0.46382583743659866</v>
      </c>
      <c r="M13" s="979">
        <f t="shared" ref="M13:M76" si="16">IF(D13=0,0,I13/D13)</f>
        <v>0.71099940724375077</v>
      </c>
      <c r="N13" s="979">
        <f t="shared" ref="N13:N76" si="17">IF(E13=0,0,J13/E13)</f>
        <v>0.97876835355215919</v>
      </c>
      <c r="O13" s="542">
        <f>SUM(O15:O28)</f>
        <v>0</v>
      </c>
      <c r="P13" s="542">
        <f>+(D13-C13)*P$10</f>
        <v>0</v>
      </c>
      <c r="Q13" s="542">
        <f>+(E13-D13)*Q$10</f>
        <v>0</v>
      </c>
      <c r="R13" s="542">
        <f>+(F13-E13)*R$10</f>
        <v>-3152029</v>
      </c>
      <c r="S13" s="542">
        <f>SUM(P13:R13)</f>
        <v>-3152029</v>
      </c>
      <c r="T13" s="960">
        <f>IF(C13=0,0,+S13/C13)</f>
        <v>-2.1231646447840816E-2</v>
      </c>
      <c r="U13" s="152"/>
      <c r="V13" s="690">
        <f t="shared" ref="V13:V76" si="18">+S13-F13+C13</f>
        <v>0</v>
      </c>
      <c r="W13">
        <f t="shared" ref="W13" si="19">+T13-F13+D13</f>
        <v>3152028.9787683487</v>
      </c>
    </row>
    <row r="14" spans="1:26" x14ac:dyDescent="0.25">
      <c r="A14" s="913" t="s">
        <v>1</v>
      </c>
      <c r="B14" s="913"/>
      <c r="C14" s="570"/>
      <c r="D14" s="961"/>
      <c r="E14" s="961"/>
      <c r="F14" s="961"/>
      <c r="G14" s="915"/>
      <c r="H14" s="915"/>
      <c r="I14" s="915"/>
      <c r="J14" s="915"/>
      <c r="K14" s="915"/>
      <c r="L14" s="531"/>
      <c r="M14" s="531"/>
      <c r="N14" s="531"/>
      <c r="O14" s="917"/>
      <c r="P14" s="915"/>
      <c r="Q14" s="915"/>
      <c r="R14" s="915"/>
      <c r="S14" s="915"/>
      <c r="T14" s="511"/>
      <c r="U14" s="917"/>
      <c r="V14" s="690">
        <f t="shared" si="18"/>
        <v>0</v>
      </c>
      <c r="W14" s="46"/>
      <c r="X14" s="46"/>
    </row>
    <row r="15" spans="1:26" x14ac:dyDescent="0.25">
      <c r="A15" s="527" t="s">
        <v>2</v>
      </c>
      <c r="B15" s="962" t="s">
        <v>405</v>
      </c>
      <c r="C15" s="169">
        <v>136679000</v>
      </c>
      <c r="D15" s="169">
        <v>134000000</v>
      </c>
      <c r="E15" s="169">
        <v>133980000</v>
      </c>
      <c r="F15" s="169">
        <v>130890043</v>
      </c>
      <c r="G15" s="169"/>
      <c r="H15" s="169">
        <v>64725832</v>
      </c>
      <c r="I15" s="169">
        <v>97797238</v>
      </c>
      <c r="J15" s="169">
        <v>130890043</v>
      </c>
      <c r="K15" s="169"/>
      <c r="L15" s="980">
        <f t="shared" si="15"/>
        <v>0.47356091279567453</v>
      </c>
      <c r="M15" s="980">
        <f t="shared" si="16"/>
        <v>0.72983013432835819</v>
      </c>
      <c r="N15" s="980">
        <f t="shared" si="17"/>
        <v>0.97693717719062545</v>
      </c>
      <c r="O15" s="169"/>
      <c r="P15" s="503">
        <f>+(D15-C15)*P$10</f>
        <v>-2679000</v>
      </c>
      <c r="Q15" s="503">
        <f>+(E15-D15)*Q$10</f>
        <v>-20000</v>
      </c>
      <c r="R15" s="503">
        <f>+(F15-E15)*R$10</f>
        <v>-3089957</v>
      </c>
      <c r="S15" s="503">
        <f>SUM(P15:R15)</f>
        <v>-5788957</v>
      </c>
      <c r="T15" s="963">
        <f>IF(C15=0,0,+S15/C15)</f>
        <v>-4.2354399724902875E-2</v>
      </c>
      <c r="U15" s="152"/>
      <c r="V15" s="690">
        <f t="shared" si="18"/>
        <v>0</v>
      </c>
      <c r="X15" s="2"/>
    </row>
    <row r="16" spans="1:26" ht="26.4" x14ac:dyDescent="0.25">
      <c r="A16" s="527"/>
      <c r="B16" s="962" t="s">
        <v>404</v>
      </c>
      <c r="C16" s="169">
        <v>0</v>
      </c>
      <c r="D16" s="169">
        <v>0</v>
      </c>
      <c r="E16" s="169"/>
      <c r="F16" s="169"/>
      <c r="G16" s="169"/>
      <c r="H16" s="169"/>
      <c r="I16" s="169"/>
      <c r="J16" s="169"/>
      <c r="K16" s="169"/>
      <c r="L16" s="980">
        <f t="shared" si="15"/>
        <v>0</v>
      </c>
      <c r="M16" s="980">
        <f t="shared" si="16"/>
        <v>0</v>
      </c>
      <c r="N16" s="980">
        <f t="shared" si="17"/>
        <v>0</v>
      </c>
      <c r="O16" s="169"/>
      <c r="P16" s="503">
        <f t="shared" ref="P16:P30" si="20">+(D16-C16)*P$10</f>
        <v>0</v>
      </c>
      <c r="Q16" s="503">
        <f t="shared" ref="Q16:Q30" si="21">+(E16-D16)*Q$10</f>
        <v>0</v>
      </c>
      <c r="R16" s="503">
        <f t="shared" ref="R16:R30" si="22">+(F16-E16)*R$10</f>
        <v>0</v>
      </c>
      <c r="S16" s="503">
        <f t="shared" ref="S16:S30" si="23">SUM(P16:R16)</f>
        <v>0</v>
      </c>
      <c r="T16" s="963">
        <f t="shared" ref="T16:T30" si="24">IF(C16=0,0,+S16/C16)</f>
        <v>0</v>
      </c>
      <c r="U16" s="152"/>
      <c r="V16" s="690">
        <f t="shared" si="18"/>
        <v>0</v>
      </c>
      <c r="X16" s="2"/>
    </row>
    <row r="17" spans="1:24" x14ac:dyDescent="0.25">
      <c r="A17" s="527" t="s">
        <v>13</v>
      </c>
      <c r="B17" s="533" t="s">
        <v>4</v>
      </c>
      <c r="C17" s="64">
        <v>0</v>
      </c>
      <c r="D17" s="64">
        <v>0</v>
      </c>
      <c r="E17" s="64"/>
      <c r="F17" s="64"/>
      <c r="G17" s="64"/>
      <c r="H17" s="64">
        <v>0</v>
      </c>
      <c r="I17" s="64">
        <v>0</v>
      </c>
      <c r="J17" s="64"/>
      <c r="K17" s="64"/>
      <c r="L17" s="980">
        <f t="shared" si="15"/>
        <v>0</v>
      </c>
      <c r="M17" s="980">
        <f t="shared" si="16"/>
        <v>0</v>
      </c>
      <c r="N17" s="980">
        <f t="shared" si="17"/>
        <v>0</v>
      </c>
      <c r="O17" s="64"/>
      <c r="P17" s="503">
        <f t="shared" si="20"/>
        <v>0</v>
      </c>
      <c r="Q17" s="503">
        <f t="shared" si="21"/>
        <v>0</v>
      </c>
      <c r="R17" s="503">
        <f t="shared" si="22"/>
        <v>0</v>
      </c>
      <c r="S17" s="503">
        <f t="shared" si="23"/>
        <v>0</v>
      </c>
      <c r="T17" s="963">
        <f t="shared" si="24"/>
        <v>0</v>
      </c>
      <c r="U17" s="152"/>
      <c r="V17" s="690">
        <f t="shared" si="18"/>
        <v>0</v>
      </c>
    </row>
    <row r="18" spans="1:24" x14ac:dyDescent="0.25">
      <c r="A18" s="527" t="s">
        <v>14</v>
      </c>
      <c r="B18" s="533" t="s">
        <v>5</v>
      </c>
      <c r="C18" s="64"/>
      <c r="D18" s="64"/>
      <c r="E18" s="64"/>
      <c r="F18" s="64"/>
      <c r="G18" s="64"/>
      <c r="H18" s="64"/>
      <c r="I18" s="64"/>
      <c r="J18" s="64"/>
      <c r="K18" s="64"/>
      <c r="L18" s="980">
        <f t="shared" si="15"/>
        <v>0</v>
      </c>
      <c r="M18" s="980">
        <f t="shared" si="16"/>
        <v>0</v>
      </c>
      <c r="N18" s="980">
        <f t="shared" si="17"/>
        <v>0</v>
      </c>
      <c r="O18" s="64"/>
      <c r="P18" s="503">
        <f t="shared" si="20"/>
        <v>0</v>
      </c>
      <c r="Q18" s="503">
        <f t="shared" si="21"/>
        <v>0</v>
      </c>
      <c r="R18" s="503">
        <f t="shared" si="22"/>
        <v>0</v>
      </c>
      <c r="S18" s="503">
        <f t="shared" si="23"/>
        <v>0</v>
      </c>
      <c r="T18" s="963">
        <f t="shared" si="24"/>
        <v>0</v>
      </c>
      <c r="U18" s="152"/>
      <c r="V18" s="690">
        <f t="shared" si="18"/>
        <v>0</v>
      </c>
    </row>
    <row r="19" spans="1:24" x14ac:dyDescent="0.25">
      <c r="A19" s="527" t="s">
        <v>389</v>
      </c>
      <c r="B19" s="533" t="s">
        <v>6</v>
      </c>
      <c r="C19" s="169">
        <v>6870000</v>
      </c>
      <c r="D19" s="64">
        <v>6870000</v>
      </c>
      <c r="E19" s="64">
        <v>6870000</v>
      </c>
      <c r="F19" s="64">
        <v>6723155</v>
      </c>
      <c r="G19" s="64"/>
      <c r="H19" s="64">
        <v>1543610</v>
      </c>
      <c r="I19" s="64">
        <v>3781685</v>
      </c>
      <c r="J19" s="64">
        <v>6723155</v>
      </c>
      <c r="K19" s="64"/>
      <c r="L19" s="980">
        <f t="shared" si="15"/>
        <v>0.22468850072780203</v>
      </c>
      <c r="M19" s="980">
        <f t="shared" si="16"/>
        <v>0.55046360989810772</v>
      </c>
      <c r="N19" s="980">
        <f t="shared" si="17"/>
        <v>0.97862518195050952</v>
      </c>
      <c r="O19" s="64"/>
      <c r="P19" s="503">
        <f t="shared" si="20"/>
        <v>0</v>
      </c>
      <c r="Q19" s="503">
        <f t="shared" si="21"/>
        <v>0</v>
      </c>
      <c r="R19" s="503">
        <f t="shared" si="22"/>
        <v>-146845</v>
      </c>
      <c r="S19" s="503">
        <f t="shared" si="23"/>
        <v>-146845</v>
      </c>
      <c r="T19" s="963">
        <f t="shared" si="24"/>
        <v>-2.1374818049490537E-2</v>
      </c>
      <c r="U19" s="152"/>
      <c r="V19" s="690">
        <f t="shared" si="18"/>
        <v>0</v>
      </c>
      <c r="W19" s="2"/>
    </row>
    <row r="20" spans="1:24" x14ac:dyDescent="0.25">
      <c r="A20" s="527" t="s">
        <v>15</v>
      </c>
      <c r="B20" s="533" t="s">
        <v>7</v>
      </c>
      <c r="C20" s="169">
        <v>2610000</v>
      </c>
      <c r="D20" s="64">
        <v>2610000</v>
      </c>
      <c r="E20" s="64">
        <v>2610000</v>
      </c>
      <c r="F20" s="64">
        <v>5100000</v>
      </c>
      <c r="G20" s="64"/>
      <c r="H20" s="64">
        <v>1290000</v>
      </c>
      <c r="I20" s="64">
        <v>2520000</v>
      </c>
      <c r="J20" s="64">
        <v>5100000</v>
      </c>
      <c r="K20" s="64"/>
      <c r="L20" s="980">
        <f t="shared" si="15"/>
        <v>0.4942528735632184</v>
      </c>
      <c r="M20" s="980">
        <f t="shared" si="16"/>
        <v>0.96551724137931039</v>
      </c>
      <c r="N20" s="980">
        <f t="shared" si="17"/>
        <v>1.9540229885057472</v>
      </c>
      <c r="O20" s="64"/>
      <c r="P20" s="503">
        <f t="shared" si="20"/>
        <v>0</v>
      </c>
      <c r="Q20" s="503">
        <f t="shared" si="21"/>
        <v>0</v>
      </c>
      <c r="R20" s="503">
        <f t="shared" si="22"/>
        <v>2490000</v>
      </c>
      <c r="S20" s="503">
        <f t="shared" si="23"/>
        <v>2490000</v>
      </c>
      <c r="T20" s="963">
        <f t="shared" si="24"/>
        <v>0.95402298850574707</v>
      </c>
      <c r="U20" s="152"/>
      <c r="V20" s="690">
        <f t="shared" si="18"/>
        <v>0</v>
      </c>
      <c r="W20" s="2"/>
    </row>
    <row r="21" spans="1:24" x14ac:dyDescent="0.25">
      <c r="A21" s="527" t="s">
        <v>16</v>
      </c>
      <c r="B21" s="533" t="s">
        <v>8</v>
      </c>
      <c r="C21" s="64">
        <v>0</v>
      </c>
      <c r="D21" s="64"/>
      <c r="E21" s="64"/>
      <c r="F21" s="64"/>
      <c r="G21" s="64"/>
      <c r="H21" s="64">
        <v>0</v>
      </c>
      <c r="I21" s="64"/>
      <c r="J21" s="64"/>
      <c r="K21" s="64"/>
      <c r="L21" s="980">
        <f t="shared" si="15"/>
        <v>0</v>
      </c>
      <c r="M21" s="980">
        <f t="shared" si="16"/>
        <v>0</v>
      </c>
      <c r="N21" s="980">
        <f t="shared" si="17"/>
        <v>0</v>
      </c>
      <c r="O21" s="64"/>
      <c r="P21" s="503">
        <f t="shared" si="20"/>
        <v>0</v>
      </c>
      <c r="Q21" s="503">
        <f t="shared" si="21"/>
        <v>0</v>
      </c>
      <c r="R21" s="503">
        <f t="shared" si="22"/>
        <v>0</v>
      </c>
      <c r="S21" s="503">
        <f t="shared" si="23"/>
        <v>0</v>
      </c>
      <c r="T21" s="963">
        <f t="shared" si="24"/>
        <v>0</v>
      </c>
      <c r="U21" s="152"/>
      <c r="V21" s="690">
        <f t="shared" si="18"/>
        <v>0</v>
      </c>
    </row>
    <row r="22" spans="1:24" x14ac:dyDescent="0.25">
      <c r="A22" s="527" t="s">
        <v>17</v>
      </c>
      <c r="B22" s="533" t="s">
        <v>9</v>
      </c>
      <c r="C22" s="64">
        <v>800000</v>
      </c>
      <c r="D22" s="64">
        <v>800000</v>
      </c>
      <c r="E22" s="64">
        <v>800000</v>
      </c>
      <c r="F22" s="64">
        <v>325620</v>
      </c>
      <c r="G22" s="64"/>
      <c r="H22" s="64">
        <v>116680</v>
      </c>
      <c r="I22" s="64">
        <v>155120</v>
      </c>
      <c r="J22" s="64">
        <v>325620</v>
      </c>
      <c r="K22" s="64"/>
      <c r="L22" s="980">
        <f t="shared" si="15"/>
        <v>0.14585000000000001</v>
      </c>
      <c r="M22" s="980">
        <f t="shared" si="16"/>
        <v>0.19389999999999999</v>
      </c>
      <c r="N22" s="980">
        <f t="shared" si="17"/>
        <v>0.40702500000000003</v>
      </c>
      <c r="O22" s="64"/>
      <c r="P22" s="503">
        <f t="shared" si="20"/>
        <v>0</v>
      </c>
      <c r="Q22" s="503">
        <f t="shared" si="21"/>
        <v>0</v>
      </c>
      <c r="R22" s="503">
        <f t="shared" si="22"/>
        <v>-474380</v>
      </c>
      <c r="S22" s="503">
        <f t="shared" si="23"/>
        <v>-474380</v>
      </c>
      <c r="T22" s="963">
        <f t="shared" si="24"/>
        <v>-0.59297500000000003</v>
      </c>
      <c r="U22" s="152"/>
      <c r="V22" s="690">
        <f t="shared" si="18"/>
        <v>0</v>
      </c>
      <c r="X22" s="23"/>
    </row>
    <row r="23" spans="1:24" x14ac:dyDescent="0.25">
      <c r="A23" s="527" t="s">
        <v>18</v>
      </c>
      <c r="B23" s="533" t="s">
        <v>10</v>
      </c>
      <c r="C23" s="64"/>
      <c r="D23" s="64"/>
      <c r="E23" s="64">
        <v>20000</v>
      </c>
      <c r="F23" s="64">
        <v>40000</v>
      </c>
      <c r="G23" s="64"/>
      <c r="H23" s="64"/>
      <c r="I23" s="64">
        <v>20000</v>
      </c>
      <c r="J23" s="64">
        <v>40000</v>
      </c>
      <c r="K23" s="64"/>
      <c r="L23" s="980">
        <f t="shared" si="15"/>
        <v>0</v>
      </c>
      <c r="M23" s="980">
        <f t="shared" si="16"/>
        <v>0</v>
      </c>
      <c r="N23" s="980">
        <f t="shared" si="17"/>
        <v>2</v>
      </c>
      <c r="O23" s="64"/>
      <c r="P23" s="503">
        <f t="shared" si="20"/>
        <v>0</v>
      </c>
      <c r="Q23" s="503">
        <f t="shared" si="21"/>
        <v>20000</v>
      </c>
      <c r="R23" s="503">
        <f t="shared" si="22"/>
        <v>20000</v>
      </c>
      <c r="S23" s="503">
        <f t="shared" si="23"/>
        <v>40000</v>
      </c>
      <c r="T23" s="963">
        <f t="shared" si="24"/>
        <v>0</v>
      </c>
      <c r="U23" s="152"/>
      <c r="V23" s="690">
        <f t="shared" si="18"/>
        <v>0</v>
      </c>
    </row>
    <row r="24" spans="1:24" x14ac:dyDescent="0.25">
      <c r="A24" s="527" t="s">
        <v>19</v>
      </c>
      <c r="B24" s="533" t="s">
        <v>11</v>
      </c>
      <c r="C24" s="64">
        <v>0</v>
      </c>
      <c r="D24" s="64">
        <v>2679000</v>
      </c>
      <c r="E24" s="64">
        <v>2679000</v>
      </c>
      <c r="F24" s="64">
        <v>1889293</v>
      </c>
      <c r="G24" s="64"/>
      <c r="H24" s="64">
        <v>1054998</v>
      </c>
      <c r="I24" s="64">
        <v>1116218</v>
      </c>
      <c r="J24" s="64">
        <v>1889293</v>
      </c>
      <c r="K24" s="64"/>
      <c r="L24" s="980">
        <f t="shared" si="15"/>
        <v>0</v>
      </c>
      <c r="M24" s="980">
        <f t="shared" si="16"/>
        <v>0.41665472191116087</v>
      </c>
      <c r="N24" s="980">
        <f t="shared" si="17"/>
        <v>0.70522321761851436</v>
      </c>
      <c r="O24" s="64"/>
      <c r="P24" s="503">
        <f t="shared" si="20"/>
        <v>2679000</v>
      </c>
      <c r="Q24" s="503">
        <f t="shared" si="21"/>
        <v>0</v>
      </c>
      <c r="R24" s="503">
        <f t="shared" si="22"/>
        <v>-789707</v>
      </c>
      <c r="S24" s="503">
        <f t="shared" si="23"/>
        <v>1889293</v>
      </c>
      <c r="T24" s="963">
        <f t="shared" si="24"/>
        <v>0</v>
      </c>
      <c r="U24" s="152"/>
      <c r="V24" s="690">
        <f t="shared" si="18"/>
        <v>0</v>
      </c>
    </row>
    <row r="25" spans="1:24" x14ac:dyDescent="0.25">
      <c r="A25" s="527" t="s">
        <v>20</v>
      </c>
      <c r="B25" s="533"/>
      <c r="C25" s="64"/>
      <c r="D25" s="64"/>
      <c r="E25" s="64"/>
      <c r="F25" s="64"/>
      <c r="G25" s="64"/>
      <c r="H25" s="64"/>
      <c r="I25" s="64"/>
      <c r="J25" s="64"/>
      <c r="K25" s="64"/>
      <c r="L25" s="980">
        <f t="shared" si="15"/>
        <v>0</v>
      </c>
      <c r="M25" s="980">
        <f t="shared" si="16"/>
        <v>0</v>
      </c>
      <c r="N25" s="980">
        <f t="shared" si="17"/>
        <v>0</v>
      </c>
      <c r="O25" s="64"/>
      <c r="P25" s="503">
        <f t="shared" si="20"/>
        <v>0</v>
      </c>
      <c r="Q25" s="503">
        <f t="shared" si="21"/>
        <v>0</v>
      </c>
      <c r="R25" s="503">
        <f t="shared" si="22"/>
        <v>0</v>
      </c>
      <c r="S25" s="503">
        <f t="shared" si="23"/>
        <v>0</v>
      </c>
      <c r="T25" s="963">
        <f t="shared" si="24"/>
        <v>0</v>
      </c>
      <c r="U25" s="152"/>
      <c r="V25" s="690">
        <f t="shared" si="18"/>
        <v>0</v>
      </c>
      <c r="W25" s="2"/>
    </row>
    <row r="26" spans="1:24" x14ac:dyDescent="0.25">
      <c r="A26" s="527" t="s">
        <v>21</v>
      </c>
      <c r="B26" s="533" t="s">
        <v>22</v>
      </c>
      <c r="C26" s="64">
        <v>0</v>
      </c>
      <c r="D26" s="64"/>
      <c r="E26" s="64"/>
      <c r="F26" s="64"/>
      <c r="G26" s="64"/>
      <c r="H26" s="64"/>
      <c r="I26" s="64">
        <v>0</v>
      </c>
      <c r="J26" s="64"/>
      <c r="K26" s="64"/>
      <c r="L26" s="980">
        <f t="shared" si="15"/>
        <v>0</v>
      </c>
      <c r="M26" s="980">
        <f t="shared" si="16"/>
        <v>0</v>
      </c>
      <c r="N26" s="980">
        <f t="shared" si="17"/>
        <v>0</v>
      </c>
      <c r="O26" s="64"/>
      <c r="P26" s="503">
        <f t="shared" si="20"/>
        <v>0</v>
      </c>
      <c r="Q26" s="503">
        <f t="shared" si="21"/>
        <v>0</v>
      </c>
      <c r="R26" s="503">
        <f t="shared" si="22"/>
        <v>0</v>
      </c>
      <c r="S26" s="503">
        <f t="shared" si="23"/>
        <v>0</v>
      </c>
      <c r="T26" s="963">
        <f t="shared" si="24"/>
        <v>0</v>
      </c>
      <c r="U26" s="152"/>
      <c r="V26" s="690">
        <f t="shared" si="18"/>
        <v>0</v>
      </c>
    </row>
    <row r="27" spans="1:24" x14ac:dyDescent="0.25">
      <c r="A27" s="527" t="s">
        <v>23</v>
      </c>
      <c r="B27" s="533" t="s">
        <v>24</v>
      </c>
      <c r="C27" s="169">
        <v>1500000</v>
      </c>
      <c r="D27" s="64">
        <v>1500000</v>
      </c>
      <c r="E27" s="64">
        <v>1500000</v>
      </c>
      <c r="F27" s="64">
        <v>338860</v>
      </c>
      <c r="G27" s="64">
        <v>338860</v>
      </c>
      <c r="H27" s="64">
        <v>128000</v>
      </c>
      <c r="I27" s="64">
        <v>164000</v>
      </c>
      <c r="J27" s="64">
        <v>338860</v>
      </c>
      <c r="K27" s="64"/>
      <c r="L27" s="980">
        <f t="shared" si="15"/>
        <v>8.533333333333333E-2</v>
      </c>
      <c r="M27" s="980">
        <f t="shared" si="16"/>
        <v>0.10933333333333334</v>
      </c>
      <c r="N27" s="980">
        <f t="shared" si="17"/>
        <v>0.22590666666666667</v>
      </c>
      <c r="O27" s="64"/>
      <c r="P27" s="503">
        <f t="shared" si="20"/>
        <v>0</v>
      </c>
      <c r="Q27" s="503">
        <f t="shared" si="21"/>
        <v>0</v>
      </c>
      <c r="R27" s="503">
        <f t="shared" si="22"/>
        <v>-1161140</v>
      </c>
      <c r="S27" s="503">
        <f t="shared" si="23"/>
        <v>-1161140</v>
      </c>
      <c r="T27" s="963">
        <f t="shared" si="24"/>
        <v>-0.7740933333333333</v>
      </c>
      <c r="U27" s="152"/>
      <c r="V27" s="690">
        <f t="shared" si="18"/>
        <v>0</v>
      </c>
      <c r="W27" s="2"/>
    </row>
    <row r="28" spans="1:24" x14ac:dyDescent="0.25">
      <c r="A28" s="527" t="s">
        <v>25</v>
      </c>
      <c r="B28" s="533" t="s">
        <v>26</v>
      </c>
      <c r="C28" s="64">
        <v>0</v>
      </c>
      <c r="D28" s="64">
        <v>0</v>
      </c>
      <c r="E28" s="64">
        <v>0</v>
      </c>
      <c r="F28" s="64"/>
      <c r="G28" s="64"/>
      <c r="H28" s="64">
        <v>0</v>
      </c>
      <c r="I28" s="64">
        <v>0</v>
      </c>
      <c r="J28" s="64"/>
      <c r="K28" s="64"/>
      <c r="L28" s="980">
        <f t="shared" si="15"/>
        <v>0</v>
      </c>
      <c r="M28" s="980">
        <f t="shared" si="16"/>
        <v>0</v>
      </c>
      <c r="N28" s="980">
        <f t="shared" si="17"/>
        <v>0</v>
      </c>
      <c r="O28" s="64"/>
      <c r="P28" s="503">
        <f t="shared" si="20"/>
        <v>0</v>
      </c>
      <c r="Q28" s="503">
        <f t="shared" si="21"/>
        <v>0</v>
      </c>
      <c r="R28" s="503">
        <f t="shared" si="22"/>
        <v>0</v>
      </c>
      <c r="S28" s="503">
        <f t="shared" si="23"/>
        <v>0</v>
      </c>
      <c r="T28" s="963">
        <f t="shared" si="24"/>
        <v>0</v>
      </c>
      <c r="U28" s="152"/>
      <c r="V28" s="690">
        <f t="shared" si="18"/>
        <v>0</v>
      </c>
    </row>
    <row r="29" spans="1:24" x14ac:dyDescent="0.25">
      <c r="A29" s="527"/>
      <c r="B29" s="527"/>
      <c r="C29" s="64"/>
      <c r="D29" s="64"/>
      <c r="E29" s="64">
        <v>0</v>
      </c>
      <c r="F29" s="64"/>
      <c r="G29" s="64"/>
      <c r="H29" s="64"/>
      <c r="I29" s="64"/>
      <c r="J29" s="64"/>
      <c r="K29" s="64"/>
      <c r="L29" s="981">
        <f t="shared" si="15"/>
        <v>0</v>
      </c>
      <c r="M29" s="982">
        <f t="shared" si="16"/>
        <v>0</v>
      </c>
      <c r="N29" s="981">
        <f t="shared" si="17"/>
        <v>0</v>
      </c>
      <c r="O29" s="64"/>
      <c r="P29" s="503">
        <f t="shared" si="20"/>
        <v>0</v>
      </c>
      <c r="Q29" s="503">
        <f t="shared" si="21"/>
        <v>0</v>
      </c>
      <c r="R29" s="503">
        <f t="shared" si="22"/>
        <v>0</v>
      </c>
      <c r="S29" s="503">
        <f t="shared" si="23"/>
        <v>0</v>
      </c>
      <c r="T29" s="963">
        <f t="shared" si="24"/>
        <v>0</v>
      </c>
      <c r="U29" s="152"/>
      <c r="V29" s="690">
        <f t="shared" si="18"/>
        <v>0</v>
      </c>
    </row>
    <row r="30" spans="1:24" x14ac:dyDescent="0.25">
      <c r="A30" s="720" t="s">
        <v>27</v>
      </c>
      <c r="B30" s="149" t="s">
        <v>28</v>
      </c>
      <c r="C30" s="128">
        <f>+C31</f>
        <v>30300000</v>
      </c>
      <c r="D30" s="128">
        <f>SUM(D31)</f>
        <v>30300000</v>
      </c>
      <c r="E30" s="128">
        <f>SUM(E31)</f>
        <v>30300000</v>
      </c>
      <c r="F30" s="128">
        <f>SUM(F31)</f>
        <v>29246638</v>
      </c>
      <c r="G30" s="128"/>
      <c r="H30" s="128">
        <f>SUM(H31)</f>
        <v>14667948</v>
      </c>
      <c r="I30" s="128">
        <f>SUM(I31)</f>
        <v>21992464</v>
      </c>
      <c r="J30" s="128">
        <f>SUM(J31)</f>
        <v>29246638</v>
      </c>
      <c r="K30" s="128"/>
      <c r="L30" s="983">
        <f t="shared" si="15"/>
        <v>0.48409069306930691</v>
      </c>
      <c r="M30" s="984">
        <f t="shared" si="16"/>
        <v>0.72582389438943895</v>
      </c>
      <c r="N30" s="983">
        <f t="shared" si="17"/>
        <v>0.9652355775577558</v>
      </c>
      <c r="O30" s="128"/>
      <c r="P30" s="128">
        <f t="shared" si="20"/>
        <v>0</v>
      </c>
      <c r="Q30" s="128">
        <f t="shared" si="21"/>
        <v>0</v>
      </c>
      <c r="R30" s="128">
        <f t="shared" si="22"/>
        <v>-1053362</v>
      </c>
      <c r="S30" s="128">
        <f t="shared" si="23"/>
        <v>-1053362</v>
      </c>
      <c r="T30" s="960">
        <f t="shared" si="24"/>
        <v>-3.4764422442244224E-2</v>
      </c>
      <c r="U30" s="128"/>
      <c r="V30" s="973">
        <f t="shared" si="18"/>
        <v>0</v>
      </c>
    </row>
    <row r="31" spans="1:24" x14ac:dyDescent="0.25">
      <c r="A31" s="527"/>
      <c r="B31" s="533" t="s">
        <v>29</v>
      </c>
      <c r="C31" s="64">
        <v>30300000</v>
      </c>
      <c r="D31" s="64">
        <v>30300000</v>
      </c>
      <c r="E31" s="64">
        <v>30300000</v>
      </c>
      <c r="F31" s="64">
        <v>29246638</v>
      </c>
      <c r="G31" s="64"/>
      <c r="H31" s="64">
        <v>14667948</v>
      </c>
      <c r="I31" s="64">
        <v>21992464</v>
      </c>
      <c r="J31" s="64">
        <v>29246638</v>
      </c>
      <c r="K31" s="64"/>
      <c r="L31" s="980">
        <f t="shared" si="15"/>
        <v>0.48409069306930691</v>
      </c>
      <c r="M31" s="980">
        <f t="shared" si="16"/>
        <v>0.72582389438943895</v>
      </c>
      <c r="N31" s="980">
        <f t="shared" si="17"/>
        <v>0.9652355775577558</v>
      </c>
      <c r="O31" s="64"/>
      <c r="P31" s="503">
        <f t="shared" ref="P31" si="25">+(D31-C31)*P$10</f>
        <v>0</v>
      </c>
      <c r="Q31" s="503">
        <f t="shared" ref="Q31" si="26">+(E31-D31)*Q$10</f>
        <v>0</v>
      </c>
      <c r="R31" s="503">
        <f t="shared" ref="R31" si="27">+(F31-E31)*R$10</f>
        <v>-1053362</v>
      </c>
      <c r="S31" s="503">
        <f t="shared" ref="S31" si="28">SUM(P31:R31)</f>
        <v>-1053362</v>
      </c>
      <c r="T31" s="963">
        <f t="shared" ref="T31" si="29">IF(C31=0,0,+S31/C31)</f>
        <v>-3.4764422442244224E-2</v>
      </c>
      <c r="U31" s="152"/>
      <c r="V31" s="690">
        <f t="shared" si="18"/>
        <v>0</v>
      </c>
    </row>
    <row r="32" spans="1:24" x14ac:dyDescent="0.25">
      <c r="A32" s="527"/>
      <c r="B32" s="527"/>
      <c r="C32" s="64"/>
      <c r="D32" s="64"/>
      <c r="E32" s="64"/>
      <c r="F32" s="64"/>
      <c r="G32" s="64"/>
      <c r="H32" s="64"/>
      <c r="I32" s="64"/>
      <c r="J32" s="64"/>
      <c r="K32" s="64"/>
      <c r="L32" s="981"/>
      <c r="M32" s="982"/>
      <c r="N32" s="981"/>
      <c r="O32" s="64"/>
      <c r="P32" s="64"/>
      <c r="Q32" s="64"/>
      <c r="R32" s="64"/>
      <c r="S32" s="64"/>
      <c r="T32" s="964"/>
      <c r="U32" s="64"/>
      <c r="V32" s="972">
        <f t="shared" si="18"/>
        <v>0</v>
      </c>
    </row>
    <row r="33" spans="1:24" x14ac:dyDescent="0.25">
      <c r="A33" s="720" t="s">
        <v>30</v>
      </c>
      <c r="B33" s="149" t="s">
        <v>31</v>
      </c>
      <c r="C33" s="128">
        <f>+C34+C42+C49+C67+C72</f>
        <v>14085000</v>
      </c>
      <c r="D33" s="128">
        <f>+D34+D42+D49+D67+D72</f>
        <v>14085000</v>
      </c>
      <c r="E33" s="128">
        <f>+E34+E42+E49+E67+E72</f>
        <v>14085000</v>
      </c>
      <c r="F33" s="128">
        <f>+F34+F42+F49+F67+F72</f>
        <v>14397545</v>
      </c>
      <c r="G33" s="128"/>
      <c r="H33" s="128">
        <f>+H34+H42+H49+H67+H72</f>
        <v>7026286</v>
      </c>
      <c r="I33" s="128">
        <f>+I34+I42+I49+I67+I72</f>
        <v>9465395</v>
      </c>
      <c r="J33" s="128">
        <f>+J34+J42+J49+J67+J72</f>
        <v>13465833</v>
      </c>
      <c r="K33" s="128"/>
      <c r="L33" s="983">
        <f t="shared" si="15"/>
        <v>0.49884884629037984</v>
      </c>
      <c r="M33" s="984">
        <f t="shared" si="16"/>
        <v>0.67201952431664891</v>
      </c>
      <c r="N33" s="983">
        <f t="shared" si="17"/>
        <v>0.95604068157614486</v>
      </c>
      <c r="O33" s="128"/>
      <c r="P33" s="128">
        <f t="shared" ref="P33" si="30">+(D33-C33)*P$10</f>
        <v>0</v>
      </c>
      <c r="Q33" s="128">
        <f t="shared" ref="Q33" si="31">+(E33-D33)*Q$10</f>
        <v>0</v>
      </c>
      <c r="R33" s="128">
        <f t="shared" ref="R33" si="32">+(F33-E33)*R$10</f>
        <v>312545</v>
      </c>
      <c r="S33" s="128">
        <f t="shared" ref="S33" si="33">SUM(P33:R33)</f>
        <v>312545</v>
      </c>
      <c r="T33" s="960">
        <f t="shared" ref="T33" si="34">IF(C33=0,0,+S33/C33)</f>
        <v>2.2189918352857649E-2</v>
      </c>
      <c r="U33" s="128"/>
      <c r="V33" s="973">
        <f t="shared" si="18"/>
        <v>0</v>
      </c>
    </row>
    <row r="34" spans="1:24" x14ac:dyDescent="0.25">
      <c r="A34" s="515" t="s">
        <v>32</v>
      </c>
      <c r="B34" s="516" t="s">
        <v>33</v>
      </c>
      <c r="C34" s="167">
        <f>SUM(C35:C41)</f>
        <v>3980000</v>
      </c>
      <c r="D34" s="167">
        <f t="shared" ref="D34:F34" si="35">SUM(D35:D41)</f>
        <v>3830000</v>
      </c>
      <c r="E34" s="167">
        <f t="shared" si="35"/>
        <v>3660000</v>
      </c>
      <c r="F34" s="167">
        <f t="shared" si="35"/>
        <v>3851981</v>
      </c>
      <c r="G34" s="167"/>
      <c r="H34" s="167">
        <f t="shared" ref="H34" si="36">SUM(H35:H41)</f>
        <v>1716304</v>
      </c>
      <c r="I34" s="167">
        <f t="shared" ref="I34" si="37">SUM(I35:I41)</f>
        <v>2492155</v>
      </c>
      <c r="J34" s="167">
        <f t="shared" ref="J34" si="38">SUM(J35:J41)</f>
        <v>3625256</v>
      </c>
      <c r="K34" s="167"/>
      <c r="L34" s="985">
        <f t="shared" si="15"/>
        <v>0.4312321608040201</v>
      </c>
      <c r="M34" s="986">
        <f t="shared" si="16"/>
        <v>0.65069321148825066</v>
      </c>
      <c r="N34" s="985">
        <f t="shared" si="17"/>
        <v>0.99050710382513663</v>
      </c>
      <c r="O34" s="167"/>
      <c r="P34" s="167">
        <f t="shared" ref="P34:P84" si="39">+(D34-C34)*P$10</f>
        <v>-150000</v>
      </c>
      <c r="Q34" s="167">
        <f t="shared" ref="Q34:Q84" si="40">+(E34-D34)*Q$10</f>
        <v>-170000</v>
      </c>
      <c r="R34" s="167">
        <f t="shared" ref="R34:R84" si="41">+(F34-E34)*R$10</f>
        <v>191981</v>
      </c>
      <c r="S34" s="167">
        <f t="shared" ref="S34:S84" si="42">SUM(P34:R34)</f>
        <v>-128019</v>
      </c>
      <c r="T34" s="965">
        <f t="shared" ref="T34:T84" si="43">IF(C34=0,0,+S34/C34)</f>
        <v>-3.2165577889447239E-2</v>
      </c>
      <c r="U34" s="167"/>
      <c r="V34" s="974">
        <f t="shared" si="18"/>
        <v>0</v>
      </c>
    </row>
    <row r="35" spans="1:24" x14ac:dyDescent="0.25">
      <c r="A35" s="527" t="s">
        <v>34</v>
      </c>
      <c r="B35" s="533" t="s">
        <v>36</v>
      </c>
      <c r="C35" s="64">
        <v>400000</v>
      </c>
      <c r="D35" s="64">
        <v>400000</v>
      </c>
      <c r="E35" s="64">
        <v>400000</v>
      </c>
      <c r="F35" s="64">
        <v>151981</v>
      </c>
      <c r="G35" s="64"/>
      <c r="H35" s="64">
        <v>68203</v>
      </c>
      <c r="I35" s="64">
        <v>149021</v>
      </c>
      <c r="J35" s="64">
        <v>151981</v>
      </c>
      <c r="K35" s="64"/>
      <c r="L35" s="981">
        <f t="shared" si="15"/>
        <v>0.17050750000000001</v>
      </c>
      <c r="M35" s="987">
        <f t="shared" si="16"/>
        <v>0.37255250000000001</v>
      </c>
      <c r="N35" s="981">
        <f t="shared" si="17"/>
        <v>0.37995250000000003</v>
      </c>
      <c r="O35" s="64"/>
      <c r="P35" s="64">
        <f t="shared" si="39"/>
        <v>0</v>
      </c>
      <c r="Q35" s="64">
        <f t="shared" si="40"/>
        <v>0</v>
      </c>
      <c r="R35" s="64">
        <f t="shared" si="41"/>
        <v>-248019</v>
      </c>
      <c r="S35" s="64">
        <f t="shared" si="42"/>
        <v>-248019</v>
      </c>
      <c r="T35" s="964">
        <f t="shared" si="43"/>
        <v>-0.62004749999999997</v>
      </c>
      <c r="U35" s="64"/>
      <c r="V35" s="972">
        <f t="shared" si="18"/>
        <v>0</v>
      </c>
    </row>
    <row r="36" spans="1:24" x14ac:dyDescent="0.25">
      <c r="A36" s="527"/>
      <c r="B36" s="533" t="s">
        <v>90</v>
      </c>
      <c r="C36" s="64">
        <v>0</v>
      </c>
      <c r="D36" s="64">
        <v>0</v>
      </c>
      <c r="E36" s="64">
        <v>0</v>
      </c>
      <c r="F36" s="64"/>
      <c r="G36" s="64"/>
      <c r="H36" s="64">
        <v>0</v>
      </c>
      <c r="I36" s="64"/>
      <c r="J36" s="64"/>
      <c r="K36" s="64"/>
      <c r="L36" s="981">
        <f t="shared" si="15"/>
        <v>0</v>
      </c>
      <c r="M36" s="982">
        <f t="shared" si="16"/>
        <v>0</v>
      </c>
      <c r="N36" s="981">
        <f t="shared" si="17"/>
        <v>0</v>
      </c>
      <c r="O36" s="64"/>
      <c r="P36" s="64">
        <f t="shared" si="39"/>
        <v>0</v>
      </c>
      <c r="Q36" s="64">
        <f t="shared" si="40"/>
        <v>0</v>
      </c>
      <c r="R36" s="64">
        <f t="shared" si="41"/>
        <v>0</v>
      </c>
      <c r="S36" s="64">
        <f t="shared" si="42"/>
        <v>0</v>
      </c>
      <c r="T36" s="964">
        <f t="shared" si="43"/>
        <v>0</v>
      </c>
      <c r="U36" s="64"/>
      <c r="V36" s="972">
        <f t="shared" si="18"/>
        <v>0</v>
      </c>
    </row>
    <row r="37" spans="1:24" x14ac:dyDescent="0.25">
      <c r="A37" s="527" t="s">
        <v>35</v>
      </c>
      <c r="B37" s="533" t="s">
        <v>37</v>
      </c>
      <c r="C37" s="64">
        <v>3580000</v>
      </c>
      <c r="D37" s="64">
        <v>3430000</v>
      </c>
      <c r="E37" s="64">
        <v>3260000</v>
      </c>
      <c r="F37" s="64">
        <v>3700000</v>
      </c>
      <c r="G37" s="64"/>
      <c r="H37" s="64">
        <v>1648101</v>
      </c>
      <c r="I37" s="64">
        <v>2343134</v>
      </c>
      <c r="J37" s="64">
        <v>3473275</v>
      </c>
      <c r="K37" s="64"/>
      <c r="L37" s="981">
        <f t="shared" si="15"/>
        <v>0.46036340782122903</v>
      </c>
      <c r="M37" s="987">
        <f t="shared" si="16"/>
        <v>0.68312944606413994</v>
      </c>
      <c r="N37" s="981">
        <f t="shared" si="17"/>
        <v>1.0654217791411043</v>
      </c>
      <c r="O37" s="64"/>
      <c r="P37" s="64">
        <f t="shared" si="39"/>
        <v>-150000</v>
      </c>
      <c r="Q37" s="64">
        <f t="shared" si="40"/>
        <v>-170000</v>
      </c>
      <c r="R37" s="64">
        <f t="shared" si="41"/>
        <v>440000</v>
      </c>
      <c r="S37" s="64">
        <f t="shared" si="42"/>
        <v>120000</v>
      </c>
      <c r="T37" s="964">
        <f t="shared" si="43"/>
        <v>3.3519553072625698E-2</v>
      </c>
      <c r="U37" s="64"/>
      <c r="V37" s="972">
        <f t="shared" si="18"/>
        <v>0</v>
      </c>
      <c r="X37" s="23"/>
    </row>
    <row r="38" spans="1:24" x14ac:dyDescent="0.25">
      <c r="A38" s="527"/>
      <c r="B38" s="533" t="s">
        <v>97</v>
      </c>
      <c r="C38" s="64"/>
      <c r="D38" s="64">
        <v>0</v>
      </c>
      <c r="E38" s="64">
        <v>0</v>
      </c>
      <c r="F38" s="64"/>
      <c r="G38" s="64"/>
      <c r="H38" s="64">
        <v>0</v>
      </c>
      <c r="I38" s="64"/>
      <c r="J38" s="64"/>
      <c r="K38" s="64"/>
      <c r="L38" s="981">
        <f t="shared" si="15"/>
        <v>0</v>
      </c>
      <c r="M38" s="982">
        <f t="shared" si="16"/>
        <v>0</v>
      </c>
      <c r="N38" s="981">
        <f t="shared" si="17"/>
        <v>0</v>
      </c>
      <c r="O38" s="64"/>
      <c r="P38" s="64">
        <f t="shared" si="39"/>
        <v>0</v>
      </c>
      <c r="Q38" s="64">
        <f t="shared" si="40"/>
        <v>0</v>
      </c>
      <c r="R38" s="64">
        <f t="shared" si="41"/>
        <v>0</v>
      </c>
      <c r="S38" s="64">
        <f t="shared" si="42"/>
        <v>0</v>
      </c>
      <c r="T38" s="964">
        <f t="shared" si="43"/>
        <v>0</v>
      </c>
      <c r="U38" s="64"/>
      <c r="V38" s="972">
        <f t="shared" si="18"/>
        <v>0</v>
      </c>
    </row>
    <row r="39" spans="1:24" x14ac:dyDescent="0.25">
      <c r="A39" s="527"/>
      <c r="B39" s="533" t="s">
        <v>96</v>
      </c>
      <c r="C39" s="64"/>
      <c r="D39" s="64"/>
      <c r="E39" s="64"/>
      <c r="F39" s="64"/>
      <c r="G39" s="64"/>
      <c r="H39" s="64"/>
      <c r="I39" s="64"/>
      <c r="J39" s="64"/>
      <c r="K39" s="64"/>
      <c r="L39" s="981">
        <f t="shared" si="15"/>
        <v>0</v>
      </c>
      <c r="M39" s="982">
        <f t="shared" si="16"/>
        <v>0</v>
      </c>
      <c r="N39" s="981">
        <f t="shared" si="17"/>
        <v>0</v>
      </c>
      <c r="O39" s="64"/>
      <c r="P39" s="64">
        <f t="shared" si="39"/>
        <v>0</v>
      </c>
      <c r="Q39" s="64">
        <f t="shared" si="40"/>
        <v>0</v>
      </c>
      <c r="R39" s="64">
        <f t="shared" si="41"/>
        <v>0</v>
      </c>
      <c r="S39" s="64">
        <f t="shared" si="42"/>
        <v>0</v>
      </c>
      <c r="T39" s="964">
        <f t="shared" si="43"/>
        <v>0</v>
      </c>
      <c r="U39" s="64"/>
      <c r="V39" s="972">
        <f t="shared" si="18"/>
        <v>0</v>
      </c>
    </row>
    <row r="40" spans="1:24" x14ac:dyDescent="0.25">
      <c r="A40" s="527"/>
      <c r="B40" s="533" t="s">
        <v>95</v>
      </c>
      <c r="C40" s="64"/>
      <c r="D40" s="64"/>
      <c r="E40" s="64"/>
      <c r="F40" s="64"/>
      <c r="G40" s="64"/>
      <c r="H40" s="64"/>
      <c r="I40" s="64"/>
      <c r="J40" s="64"/>
      <c r="K40" s="64"/>
      <c r="L40" s="981">
        <f t="shared" si="15"/>
        <v>0</v>
      </c>
      <c r="M40" s="982">
        <f t="shared" si="16"/>
        <v>0</v>
      </c>
      <c r="N40" s="981">
        <f t="shared" si="17"/>
        <v>0</v>
      </c>
      <c r="O40" s="64"/>
      <c r="P40" s="64">
        <f t="shared" si="39"/>
        <v>0</v>
      </c>
      <c r="Q40" s="64">
        <f t="shared" si="40"/>
        <v>0</v>
      </c>
      <c r="R40" s="64">
        <f t="shared" si="41"/>
        <v>0</v>
      </c>
      <c r="S40" s="64">
        <f t="shared" si="42"/>
        <v>0</v>
      </c>
      <c r="T40" s="964">
        <f t="shared" si="43"/>
        <v>0</v>
      </c>
      <c r="U40" s="64"/>
      <c r="V40" s="972">
        <f t="shared" si="18"/>
        <v>0</v>
      </c>
    </row>
    <row r="41" spans="1:24" x14ac:dyDescent="0.25">
      <c r="A41" s="527"/>
      <c r="B41" s="533" t="s">
        <v>94</v>
      </c>
      <c r="C41" s="64">
        <v>0</v>
      </c>
      <c r="D41" s="64">
        <v>0</v>
      </c>
      <c r="E41" s="64">
        <v>0</v>
      </c>
      <c r="F41" s="64"/>
      <c r="G41" s="64"/>
      <c r="H41" s="64">
        <v>0</v>
      </c>
      <c r="I41" s="64"/>
      <c r="J41" s="64"/>
      <c r="K41" s="64"/>
      <c r="L41" s="981">
        <f t="shared" si="15"/>
        <v>0</v>
      </c>
      <c r="M41" s="982">
        <f t="shared" si="16"/>
        <v>0</v>
      </c>
      <c r="N41" s="981">
        <f t="shared" si="17"/>
        <v>0</v>
      </c>
      <c r="O41" s="64"/>
      <c r="P41" s="64">
        <f t="shared" si="39"/>
        <v>0</v>
      </c>
      <c r="Q41" s="64">
        <f t="shared" si="40"/>
        <v>0</v>
      </c>
      <c r="R41" s="64">
        <f t="shared" si="41"/>
        <v>0</v>
      </c>
      <c r="S41" s="64">
        <f t="shared" si="42"/>
        <v>0</v>
      </c>
      <c r="T41" s="964">
        <f t="shared" si="43"/>
        <v>0</v>
      </c>
      <c r="U41" s="64"/>
      <c r="V41" s="972">
        <f t="shared" si="18"/>
        <v>0</v>
      </c>
    </row>
    <row r="42" spans="1:24" x14ac:dyDescent="0.25">
      <c r="A42" s="515" t="s">
        <v>38</v>
      </c>
      <c r="B42" s="516" t="s">
        <v>39</v>
      </c>
      <c r="C42" s="167">
        <f>+C43+C47</f>
        <v>600000</v>
      </c>
      <c r="D42" s="167">
        <f>+D43+D47</f>
        <v>420000</v>
      </c>
      <c r="E42" s="167">
        <f>+E43+E47</f>
        <v>420000</v>
      </c>
      <c r="F42" s="167">
        <f>+F43+F47</f>
        <v>320000</v>
      </c>
      <c r="G42" s="167"/>
      <c r="H42" s="167">
        <f>+H43+H47</f>
        <v>58940</v>
      </c>
      <c r="I42" s="167">
        <f>+I43+I47</f>
        <v>113957</v>
      </c>
      <c r="J42" s="167">
        <f>+J43+J47</f>
        <v>142718</v>
      </c>
      <c r="K42" s="167"/>
      <c r="L42" s="985">
        <f t="shared" si="15"/>
        <v>9.8233333333333339E-2</v>
      </c>
      <c r="M42" s="986">
        <f t="shared" si="16"/>
        <v>0.2713261904761905</v>
      </c>
      <c r="N42" s="985">
        <f t="shared" si="17"/>
        <v>0.33980476190476189</v>
      </c>
      <c r="O42" s="167"/>
      <c r="P42" s="167">
        <f t="shared" si="39"/>
        <v>-180000</v>
      </c>
      <c r="Q42" s="167">
        <f t="shared" si="40"/>
        <v>0</v>
      </c>
      <c r="R42" s="167">
        <f t="shared" si="41"/>
        <v>-100000</v>
      </c>
      <c r="S42" s="167">
        <f t="shared" si="42"/>
        <v>-280000</v>
      </c>
      <c r="T42" s="965">
        <f t="shared" si="43"/>
        <v>-0.46666666666666667</v>
      </c>
      <c r="U42" s="167"/>
      <c r="V42" s="974">
        <f t="shared" si="18"/>
        <v>0</v>
      </c>
    </row>
    <row r="43" spans="1:24" x14ac:dyDescent="0.25">
      <c r="A43" s="527" t="s">
        <v>40</v>
      </c>
      <c r="B43" s="533" t="s">
        <v>41</v>
      </c>
      <c r="C43" s="64">
        <v>400000</v>
      </c>
      <c r="D43" s="64">
        <v>220000</v>
      </c>
      <c r="E43" s="64">
        <v>220000</v>
      </c>
      <c r="F43" s="64">
        <v>120000</v>
      </c>
      <c r="G43" s="64"/>
      <c r="H43" s="64">
        <v>0</v>
      </c>
      <c r="I43" s="64">
        <v>25969</v>
      </c>
      <c r="J43" s="64">
        <v>25969</v>
      </c>
      <c r="K43" s="64"/>
      <c r="L43" s="981">
        <f t="shared" si="15"/>
        <v>0</v>
      </c>
      <c r="M43" s="987">
        <f t="shared" si="16"/>
        <v>0.11804090909090909</v>
      </c>
      <c r="N43" s="981">
        <f t="shared" si="17"/>
        <v>0.11804090909090909</v>
      </c>
      <c r="O43" s="64"/>
      <c r="P43" s="64">
        <f t="shared" si="39"/>
        <v>-180000</v>
      </c>
      <c r="Q43" s="64">
        <f t="shared" si="40"/>
        <v>0</v>
      </c>
      <c r="R43" s="64">
        <f t="shared" si="41"/>
        <v>-100000</v>
      </c>
      <c r="S43" s="64">
        <f t="shared" si="42"/>
        <v>-280000</v>
      </c>
      <c r="T43" s="964">
        <f t="shared" si="43"/>
        <v>-0.7</v>
      </c>
      <c r="U43" s="64"/>
      <c r="V43" s="972">
        <f t="shared" si="18"/>
        <v>0</v>
      </c>
    </row>
    <row r="44" spans="1:24" x14ac:dyDescent="0.25">
      <c r="A44" s="527"/>
      <c r="B44" s="533" t="s">
        <v>42</v>
      </c>
      <c r="C44" s="64">
        <v>0</v>
      </c>
      <c r="D44" s="64"/>
      <c r="E44" s="64"/>
      <c r="F44" s="64">
        <v>0</v>
      </c>
      <c r="G44" s="64"/>
      <c r="H44" s="64">
        <v>0</v>
      </c>
      <c r="I44" s="64"/>
      <c r="J44" s="64"/>
      <c r="K44" s="64"/>
      <c r="L44" s="981">
        <f t="shared" si="15"/>
        <v>0</v>
      </c>
      <c r="M44" s="982">
        <f t="shared" si="16"/>
        <v>0</v>
      </c>
      <c r="N44" s="981">
        <f t="shared" si="17"/>
        <v>0</v>
      </c>
      <c r="O44" s="64"/>
      <c r="P44" s="64">
        <f t="shared" si="39"/>
        <v>0</v>
      </c>
      <c r="Q44" s="64">
        <f t="shared" si="40"/>
        <v>0</v>
      </c>
      <c r="R44" s="64">
        <f t="shared" si="41"/>
        <v>0</v>
      </c>
      <c r="S44" s="64">
        <f t="shared" si="42"/>
        <v>0</v>
      </c>
      <c r="T44" s="964">
        <f t="shared" si="43"/>
        <v>0</v>
      </c>
      <c r="U44" s="64"/>
      <c r="V44" s="972">
        <f t="shared" si="18"/>
        <v>0</v>
      </c>
    </row>
    <row r="45" spans="1:24" x14ac:dyDescent="0.25">
      <c r="A45" s="527"/>
      <c r="B45" s="533" t="s">
        <v>43</v>
      </c>
      <c r="C45" s="64">
        <v>0</v>
      </c>
      <c r="D45" s="64"/>
      <c r="E45" s="64"/>
      <c r="F45" s="64"/>
      <c r="G45" s="64"/>
      <c r="H45" s="64"/>
      <c r="I45" s="64"/>
      <c r="J45" s="64"/>
      <c r="K45" s="64"/>
      <c r="L45" s="981">
        <f t="shared" si="15"/>
        <v>0</v>
      </c>
      <c r="M45" s="982">
        <f t="shared" si="16"/>
        <v>0</v>
      </c>
      <c r="N45" s="981">
        <f t="shared" si="17"/>
        <v>0</v>
      </c>
      <c r="O45" s="64"/>
      <c r="P45" s="64">
        <f t="shared" si="39"/>
        <v>0</v>
      </c>
      <c r="Q45" s="64">
        <f t="shared" si="40"/>
        <v>0</v>
      </c>
      <c r="R45" s="64">
        <f t="shared" si="41"/>
        <v>0</v>
      </c>
      <c r="S45" s="64">
        <f t="shared" si="42"/>
        <v>0</v>
      </c>
      <c r="T45" s="964">
        <f t="shared" si="43"/>
        <v>0</v>
      </c>
      <c r="U45" s="64"/>
      <c r="V45" s="972">
        <f t="shared" si="18"/>
        <v>0</v>
      </c>
    </row>
    <row r="46" spans="1:24" x14ac:dyDescent="0.25">
      <c r="A46" s="527"/>
      <c r="B46" s="533" t="s">
        <v>44</v>
      </c>
      <c r="C46" s="64">
        <v>0</v>
      </c>
      <c r="D46" s="64"/>
      <c r="E46" s="64"/>
      <c r="F46" s="64"/>
      <c r="G46" s="64"/>
      <c r="H46" s="64"/>
      <c r="I46" s="64"/>
      <c r="J46" s="64"/>
      <c r="K46" s="64"/>
      <c r="L46" s="981">
        <f t="shared" si="15"/>
        <v>0</v>
      </c>
      <c r="M46" s="982">
        <f t="shared" si="16"/>
        <v>0</v>
      </c>
      <c r="N46" s="981">
        <f t="shared" si="17"/>
        <v>0</v>
      </c>
      <c r="O46" s="64"/>
      <c r="P46" s="64">
        <f t="shared" si="39"/>
        <v>0</v>
      </c>
      <c r="Q46" s="64">
        <f t="shared" si="40"/>
        <v>0</v>
      </c>
      <c r="R46" s="64">
        <f t="shared" si="41"/>
        <v>0</v>
      </c>
      <c r="S46" s="64">
        <f t="shared" si="42"/>
        <v>0</v>
      </c>
      <c r="T46" s="964">
        <f t="shared" si="43"/>
        <v>0</v>
      </c>
      <c r="U46" s="64"/>
      <c r="V46" s="972">
        <f t="shared" si="18"/>
        <v>0</v>
      </c>
    </row>
    <row r="47" spans="1:24" x14ac:dyDescent="0.25">
      <c r="A47" s="527" t="s">
        <v>45</v>
      </c>
      <c r="B47" s="533" t="s">
        <v>46</v>
      </c>
      <c r="C47" s="64">
        <v>200000</v>
      </c>
      <c r="D47" s="64">
        <v>200000</v>
      </c>
      <c r="E47" s="64">
        <v>200000</v>
      </c>
      <c r="F47" s="64">
        <v>200000</v>
      </c>
      <c r="G47" s="64"/>
      <c r="H47" s="64">
        <v>58940</v>
      </c>
      <c r="I47" s="64">
        <v>87988</v>
      </c>
      <c r="J47" s="64">
        <v>116749</v>
      </c>
      <c r="K47" s="64"/>
      <c r="L47" s="981">
        <f t="shared" si="15"/>
        <v>0.29470000000000002</v>
      </c>
      <c r="M47" s="987">
        <f t="shared" si="16"/>
        <v>0.43994</v>
      </c>
      <c r="N47" s="981">
        <f t="shared" si="17"/>
        <v>0.58374499999999996</v>
      </c>
      <c r="O47" s="64"/>
      <c r="P47" s="64">
        <f t="shared" si="39"/>
        <v>0</v>
      </c>
      <c r="Q47" s="64">
        <f t="shared" si="40"/>
        <v>0</v>
      </c>
      <c r="R47" s="64">
        <f t="shared" si="41"/>
        <v>0</v>
      </c>
      <c r="S47" s="64">
        <f t="shared" si="42"/>
        <v>0</v>
      </c>
      <c r="T47" s="964">
        <f t="shared" si="43"/>
        <v>0</v>
      </c>
      <c r="U47" s="64"/>
      <c r="V47" s="972">
        <f t="shared" si="18"/>
        <v>0</v>
      </c>
    </row>
    <row r="48" spans="1:24" x14ac:dyDescent="0.25">
      <c r="A48" s="527"/>
      <c r="B48" s="533" t="s">
        <v>47</v>
      </c>
      <c r="C48" s="64">
        <v>0</v>
      </c>
      <c r="D48" s="64">
        <v>0</v>
      </c>
      <c r="E48" s="64">
        <v>0</v>
      </c>
      <c r="F48" s="64"/>
      <c r="G48" s="64"/>
      <c r="H48" s="64"/>
      <c r="I48" s="64"/>
      <c r="J48" s="64"/>
      <c r="K48" s="64"/>
      <c r="L48" s="981">
        <f t="shared" si="15"/>
        <v>0</v>
      </c>
      <c r="M48" s="982">
        <f t="shared" si="16"/>
        <v>0</v>
      </c>
      <c r="N48" s="981">
        <f t="shared" si="17"/>
        <v>0</v>
      </c>
      <c r="O48" s="64"/>
      <c r="P48" s="64">
        <f t="shared" si="39"/>
        <v>0</v>
      </c>
      <c r="Q48" s="64">
        <f t="shared" si="40"/>
        <v>0</v>
      </c>
      <c r="R48" s="64">
        <f t="shared" si="41"/>
        <v>0</v>
      </c>
      <c r="S48" s="64">
        <f t="shared" si="42"/>
        <v>0</v>
      </c>
      <c r="T48" s="964">
        <f t="shared" si="43"/>
        <v>0</v>
      </c>
      <c r="U48" s="64"/>
      <c r="V48" s="972">
        <f t="shared" si="18"/>
        <v>0</v>
      </c>
    </row>
    <row r="49" spans="1:22" s="26" customFormat="1" x14ac:dyDescent="0.25">
      <c r="A49" s="515" t="s">
        <v>48</v>
      </c>
      <c r="B49" s="516" t="s">
        <v>49</v>
      </c>
      <c r="C49" s="167">
        <f>+C50+C54+C57+C59+C61+C63+C65</f>
        <v>7100000</v>
      </c>
      <c r="D49" s="167">
        <f>+D50+D54+D57+D59+D61+D63+D65</f>
        <v>7420000</v>
      </c>
      <c r="E49" s="167">
        <f>+E50+E54+E57+E59+E61+E63+E65</f>
        <v>7590000</v>
      </c>
      <c r="F49" s="167">
        <f>+F50+F54+F57+F59+F61+F63+F65</f>
        <v>7670564</v>
      </c>
      <c r="G49" s="167"/>
      <c r="H49" s="167">
        <f>+H50+H54+H57+H59+H61+H63+H65</f>
        <v>4194916</v>
      </c>
      <c r="I49" s="167">
        <f>+I50+I54+I57+I59+I61+I63+I65</f>
        <v>5333376</v>
      </c>
      <c r="J49" s="167">
        <f>+J50+J54+J57+J59+J61+J63+J65</f>
        <v>7403557</v>
      </c>
      <c r="K49" s="167"/>
      <c r="L49" s="985">
        <f t="shared" si="15"/>
        <v>0.59083323943661969</v>
      </c>
      <c r="M49" s="986">
        <f t="shared" si="16"/>
        <v>0.71878382749326142</v>
      </c>
      <c r="N49" s="985">
        <f t="shared" si="17"/>
        <v>0.97543570487483533</v>
      </c>
      <c r="O49" s="167"/>
      <c r="P49" s="167">
        <f t="shared" si="39"/>
        <v>320000</v>
      </c>
      <c r="Q49" s="167">
        <f t="shared" si="40"/>
        <v>170000</v>
      </c>
      <c r="R49" s="167">
        <f t="shared" si="41"/>
        <v>80564</v>
      </c>
      <c r="S49" s="167">
        <f t="shared" si="42"/>
        <v>570564</v>
      </c>
      <c r="T49" s="965">
        <f t="shared" si="43"/>
        <v>8.0361126760563381E-2</v>
      </c>
      <c r="U49" s="167"/>
      <c r="V49" s="974">
        <f t="shared" si="18"/>
        <v>0</v>
      </c>
    </row>
    <row r="50" spans="1:22" x14ac:dyDescent="0.25">
      <c r="A50" s="527" t="s">
        <v>50</v>
      </c>
      <c r="B50" s="533" t="s">
        <v>51</v>
      </c>
      <c r="C50" s="966">
        <v>5000000</v>
      </c>
      <c r="D50" s="64">
        <v>5000000</v>
      </c>
      <c r="E50" s="64">
        <v>5000000</v>
      </c>
      <c r="F50" s="64">
        <v>4840564</v>
      </c>
      <c r="G50" s="64"/>
      <c r="H50" s="64">
        <v>2802021</v>
      </c>
      <c r="I50" s="64">
        <v>3426539</v>
      </c>
      <c r="J50" s="64">
        <v>4784024</v>
      </c>
      <c r="K50" s="64"/>
      <c r="L50" s="981">
        <f t="shared" si="15"/>
        <v>0.56040420000000002</v>
      </c>
      <c r="M50" s="987">
        <f t="shared" si="16"/>
        <v>0.68530780000000002</v>
      </c>
      <c r="N50" s="981">
        <f t="shared" si="17"/>
        <v>0.95680480000000001</v>
      </c>
      <c r="O50" s="64"/>
      <c r="P50" s="64">
        <f t="shared" si="39"/>
        <v>0</v>
      </c>
      <c r="Q50" s="64">
        <f t="shared" si="40"/>
        <v>0</v>
      </c>
      <c r="R50" s="64">
        <f t="shared" si="41"/>
        <v>-159436</v>
      </c>
      <c r="S50" s="64">
        <f t="shared" si="42"/>
        <v>-159436</v>
      </c>
      <c r="T50" s="964">
        <f t="shared" si="43"/>
        <v>-3.1887199999999997E-2</v>
      </c>
      <c r="U50" s="64"/>
      <c r="V50" s="972">
        <f t="shared" si="18"/>
        <v>0</v>
      </c>
    </row>
    <row r="51" spans="1:22" x14ac:dyDescent="0.25">
      <c r="A51" s="527" t="s">
        <v>104</v>
      </c>
      <c r="B51" s="533" t="s">
        <v>98</v>
      </c>
      <c r="C51" s="64"/>
      <c r="D51" s="64"/>
      <c r="E51" s="64"/>
      <c r="F51" s="64"/>
      <c r="G51" s="64"/>
      <c r="H51" s="64"/>
      <c r="I51" s="64"/>
      <c r="J51" s="64"/>
      <c r="K51" s="64"/>
      <c r="L51" s="981">
        <f t="shared" si="15"/>
        <v>0</v>
      </c>
      <c r="M51" s="982">
        <f t="shared" si="16"/>
        <v>0</v>
      </c>
      <c r="N51" s="981">
        <f t="shared" si="17"/>
        <v>0</v>
      </c>
      <c r="O51" s="64"/>
      <c r="P51" s="64">
        <f t="shared" si="39"/>
        <v>0</v>
      </c>
      <c r="Q51" s="64">
        <f t="shared" si="40"/>
        <v>0</v>
      </c>
      <c r="R51" s="64">
        <f t="shared" si="41"/>
        <v>0</v>
      </c>
      <c r="S51" s="64">
        <f t="shared" si="42"/>
        <v>0</v>
      </c>
      <c r="T51" s="964">
        <f t="shared" si="43"/>
        <v>0</v>
      </c>
      <c r="U51" s="64"/>
      <c r="V51" s="972">
        <f t="shared" si="18"/>
        <v>0</v>
      </c>
    </row>
    <row r="52" spans="1:22" x14ac:dyDescent="0.25">
      <c r="A52" s="527"/>
      <c r="B52" s="533" t="s">
        <v>99</v>
      </c>
      <c r="C52" s="64"/>
      <c r="D52" s="64"/>
      <c r="E52" s="64"/>
      <c r="F52" s="64"/>
      <c r="G52" s="64"/>
      <c r="H52" s="64"/>
      <c r="I52" s="64"/>
      <c r="J52" s="64"/>
      <c r="K52" s="64"/>
      <c r="L52" s="981">
        <f t="shared" si="15"/>
        <v>0</v>
      </c>
      <c r="M52" s="982">
        <f t="shared" si="16"/>
        <v>0</v>
      </c>
      <c r="N52" s="981">
        <f t="shared" si="17"/>
        <v>0</v>
      </c>
      <c r="O52" s="64"/>
      <c r="P52" s="64">
        <f t="shared" si="39"/>
        <v>0</v>
      </c>
      <c r="Q52" s="64">
        <f t="shared" si="40"/>
        <v>0</v>
      </c>
      <c r="R52" s="64">
        <f t="shared" si="41"/>
        <v>0</v>
      </c>
      <c r="S52" s="64">
        <f t="shared" si="42"/>
        <v>0</v>
      </c>
      <c r="T52" s="964">
        <f t="shared" si="43"/>
        <v>0</v>
      </c>
      <c r="U52" s="64"/>
      <c r="V52" s="972">
        <f t="shared" si="18"/>
        <v>0</v>
      </c>
    </row>
    <row r="53" spans="1:22" x14ac:dyDescent="0.25">
      <c r="A53" s="527"/>
      <c r="B53" s="533" t="s">
        <v>100</v>
      </c>
      <c r="C53" s="64"/>
      <c r="D53" s="64"/>
      <c r="E53" s="64"/>
      <c r="F53" s="64"/>
      <c r="G53" s="64"/>
      <c r="H53" s="64"/>
      <c r="I53" s="64"/>
      <c r="J53" s="64"/>
      <c r="K53" s="64"/>
      <c r="L53" s="981">
        <f t="shared" si="15"/>
        <v>0</v>
      </c>
      <c r="M53" s="982">
        <f t="shared" si="16"/>
        <v>0</v>
      </c>
      <c r="N53" s="981">
        <f t="shared" si="17"/>
        <v>0</v>
      </c>
      <c r="O53" s="64"/>
      <c r="P53" s="64">
        <f t="shared" si="39"/>
        <v>0</v>
      </c>
      <c r="Q53" s="64">
        <f t="shared" si="40"/>
        <v>0</v>
      </c>
      <c r="R53" s="64">
        <f t="shared" si="41"/>
        <v>0</v>
      </c>
      <c r="S53" s="64">
        <f t="shared" si="42"/>
        <v>0</v>
      </c>
      <c r="T53" s="964">
        <f t="shared" si="43"/>
        <v>0</v>
      </c>
      <c r="U53" s="64"/>
      <c r="V53" s="972">
        <f t="shared" si="18"/>
        <v>0</v>
      </c>
    </row>
    <row r="54" spans="1:22" x14ac:dyDescent="0.25">
      <c r="A54" s="527" t="s">
        <v>52</v>
      </c>
      <c r="B54" s="533" t="s">
        <v>53</v>
      </c>
      <c r="C54" s="64"/>
      <c r="D54" s="64">
        <v>0</v>
      </c>
      <c r="E54" s="64"/>
      <c r="F54" s="64">
        <v>0</v>
      </c>
      <c r="G54" s="64"/>
      <c r="H54" s="64"/>
      <c r="I54" s="64"/>
      <c r="J54" s="64">
        <v>0</v>
      </c>
      <c r="K54" s="64"/>
      <c r="L54" s="981">
        <f t="shared" si="15"/>
        <v>0</v>
      </c>
      <c r="M54" s="982">
        <f t="shared" si="16"/>
        <v>0</v>
      </c>
      <c r="N54" s="981">
        <f t="shared" si="17"/>
        <v>0</v>
      </c>
      <c r="O54" s="64"/>
      <c r="P54" s="64">
        <f t="shared" si="39"/>
        <v>0</v>
      </c>
      <c r="Q54" s="64">
        <f t="shared" si="40"/>
        <v>0</v>
      </c>
      <c r="R54" s="64">
        <f t="shared" si="41"/>
        <v>0</v>
      </c>
      <c r="S54" s="64">
        <f t="shared" si="42"/>
        <v>0</v>
      </c>
      <c r="T54" s="964">
        <f t="shared" si="43"/>
        <v>0</v>
      </c>
      <c r="U54" s="64"/>
      <c r="V54" s="972">
        <f t="shared" si="18"/>
        <v>0</v>
      </c>
    </row>
    <row r="55" spans="1:22" x14ac:dyDescent="0.25">
      <c r="A55" s="527"/>
      <c r="B55" s="533" t="s">
        <v>91</v>
      </c>
      <c r="C55" s="64"/>
      <c r="D55" s="64"/>
      <c r="E55" s="64"/>
      <c r="F55" s="64"/>
      <c r="G55" s="64"/>
      <c r="H55" s="64"/>
      <c r="I55" s="64"/>
      <c r="J55" s="64"/>
      <c r="K55" s="64"/>
      <c r="L55" s="981">
        <f t="shared" si="15"/>
        <v>0</v>
      </c>
      <c r="M55" s="982">
        <f t="shared" si="16"/>
        <v>0</v>
      </c>
      <c r="N55" s="981">
        <f t="shared" si="17"/>
        <v>0</v>
      </c>
      <c r="O55" s="64"/>
      <c r="P55" s="64">
        <f t="shared" si="39"/>
        <v>0</v>
      </c>
      <c r="Q55" s="64">
        <f t="shared" si="40"/>
        <v>0</v>
      </c>
      <c r="R55" s="64">
        <f t="shared" si="41"/>
        <v>0</v>
      </c>
      <c r="S55" s="64">
        <f t="shared" si="42"/>
        <v>0</v>
      </c>
      <c r="T55" s="964">
        <f t="shared" si="43"/>
        <v>0</v>
      </c>
      <c r="U55" s="64"/>
      <c r="V55" s="972">
        <f t="shared" si="18"/>
        <v>0</v>
      </c>
    </row>
    <row r="56" spans="1:22" x14ac:dyDescent="0.25">
      <c r="A56" s="527"/>
      <c r="B56" s="533" t="s">
        <v>54</v>
      </c>
      <c r="C56" s="64"/>
      <c r="D56" s="64"/>
      <c r="E56" s="64"/>
      <c r="F56" s="64"/>
      <c r="G56" s="64"/>
      <c r="H56" s="64"/>
      <c r="I56" s="64"/>
      <c r="J56" s="64"/>
      <c r="K56" s="64"/>
      <c r="L56" s="981">
        <f t="shared" si="15"/>
        <v>0</v>
      </c>
      <c r="M56" s="982">
        <f t="shared" si="16"/>
        <v>0</v>
      </c>
      <c r="N56" s="981">
        <f t="shared" si="17"/>
        <v>0</v>
      </c>
      <c r="O56" s="64"/>
      <c r="P56" s="64">
        <f t="shared" si="39"/>
        <v>0</v>
      </c>
      <c r="Q56" s="64">
        <f t="shared" si="40"/>
        <v>0</v>
      </c>
      <c r="R56" s="64">
        <f t="shared" si="41"/>
        <v>0</v>
      </c>
      <c r="S56" s="64">
        <f t="shared" si="42"/>
        <v>0</v>
      </c>
      <c r="T56" s="964">
        <f t="shared" si="43"/>
        <v>0</v>
      </c>
      <c r="U56" s="64"/>
      <c r="V56" s="972">
        <f t="shared" si="18"/>
        <v>0</v>
      </c>
    </row>
    <row r="57" spans="1:22" x14ac:dyDescent="0.25">
      <c r="A57" s="527" t="s">
        <v>55</v>
      </c>
      <c r="B57" s="533" t="s">
        <v>56</v>
      </c>
      <c r="C57" s="64"/>
      <c r="D57" s="64">
        <v>0</v>
      </c>
      <c r="E57" s="64"/>
      <c r="F57" s="64">
        <v>0</v>
      </c>
      <c r="G57" s="64"/>
      <c r="H57" s="64"/>
      <c r="I57" s="64"/>
      <c r="J57" s="64">
        <v>0</v>
      </c>
      <c r="K57" s="64"/>
      <c r="L57" s="981">
        <f t="shared" si="15"/>
        <v>0</v>
      </c>
      <c r="M57" s="982">
        <f t="shared" si="16"/>
        <v>0</v>
      </c>
      <c r="N57" s="981">
        <f t="shared" si="17"/>
        <v>0</v>
      </c>
      <c r="O57" s="64"/>
      <c r="P57" s="64">
        <f t="shared" si="39"/>
        <v>0</v>
      </c>
      <c r="Q57" s="64">
        <f t="shared" si="40"/>
        <v>0</v>
      </c>
      <c r="R57" s="64">
        <f t="shared" si="41"/>
        <v>0</v>
      </c>
      <c r="S57" s="64">
        <f t="shared" si="42"/>
        <v>0</v>
      </c>
      <c r="T57" s="964">
        <f t="shared" si="43"/>
        <v>0</v>
      </c>
      <c r="U57" s="64"/>
      <c r="V57" s="972">
        <f t="shared" si="18"/>
        <v>0</v>
      </c>
    </row>
    <row r="58" spans="1:22" x14ac:dyDescent="0.25">
      <c r="A58" s="527"/>
      <c r="B58" s="533" t="s">
        <v>57</v>
      </c>
      <c r="C58" s="64"/>
      <c r="D58" s="64"/>
      <c r="E58" s="64"/>
      <c r="F58" s="64"/>
      <c r="G58" s="64"/>
      <c r="H58" s="64"/>
      <c r="I58" s="64"/>
      <c r="J58" s="64"/>
      <c r="K58" s="64"/>
      <c r="L58" s="981">
        <f t="shared" si="15"/>
        <v>0</v>
      </c>
      <c r="M58" s="982">
        <f t="shared" si="16"/>
        <v>0</v>
      </c>
      <c r="N58" s="981">
        <f t="shared" si="17"/>
        <v>0</v>
      </c>
      <c r="O58" s="64"/>
      <c r="P58" s="64">
        <f t="shared" si="39"/>
        <v>0</v>
      </c>
      <c r="Q58" s="64">
        <f t="shared" si="40"/>
        <v>0</v>
      </c>
      <c r="R58" s="64">
        <f t="shared" si="41"/>
        <v>0</v>
      </c>
      <c r="S58" s="64">
        <f t="shared" si="42"/>
        <v>0</v>
      </c>
      <c r="T58" s="964">
        <f t="shared" si="43"/>
        <v>0</v>
      </c>
      <c r="U58" s="64"/>
      <c r="V58" s="972">
        <f t="shared" si="18"/>
        <v>0</v>
      </c>
    </row>
    <row r="59" spans="1:22" x14ac:dyDescent="0.25">
      <c r="A59" s="527" t="s">
        <v>58</v>
      </c>
      <c r="B59" s="533" t="s">
        <v>92</v>
      </c>
      <c r="C59" s="64">
        <v>1000000</v>
      </c>
      <c r="D59" s="64">
        <v>580000</v>
      </c>
      <c r="E59" s="64">
        <v>310000</v>
      </c>
      <c r="F59" s="64">
        <v>120000</v>
      </c>
      <c r="G59" s="64"/>
      <c r="H59" s="64">
        <v>0</v>
      </c>
      <c r="I59" s="64">
        <v>0</v>
      </c>
      <c r="J59" s="64">
        <v>120000</v>
      </c>
      <c r="K59" s="64"/>
      <c r="L59" s="981">
        <f t="shared" si="15"/>
        <v>0</v>
      </c>
      <c r="M59" s="987">
        <f t="shared" si="16"/>
        <v>0</v>
      </c>
      <c r="N59" s="981">
        <f t="shared" si="17"/>
        <v>0.38709677419354838</v>
      </c>
      <c r="O59" s="64"/>
      <c r="P59" s="64">
        <f t="shared" si="39"/>
        <v>-420000</v>
      </c>
      <c r="Q59" s="64">
        <f t="shared" si="40"/>
        <v>-270000</v>
      </c>
      <c r="R59" s="64">
        <f t="shared" si="41"/>
        <v>-190000</v>
      </c>
      <c r="S59" s="64">
        <f t="shared" si="42"/>
        <v>-880000</v>
      </c>
      <c r="T59" s="964">
        <f t="shared" si="43"/>
        <v>-0.88</v>
      </c>
      <c r="U59" s="64"/>
      <c r="V59" s="972">
        <f t="shared" si="18"/>
        <v>0</v>
      </c>
    </row>
    <row r="60" spans="1:22" x14ac:dyDescent="0.25">
      <c r="A60" s="527"/>
      <c r="B60" s="533" t="s">
        <v>59</v>
      </c>
      <c r="C60" s="64"/>
      <c r="D60" s="64"/>
      <c r="E60" s="64"/>
      <c r="F60" s="64"/>
      <c r="G60" s="64"/>
      <c r="H60" s="64"/>
      <c r="I60" s="64"/>
      <c r="J60" s="64"/>
      <c r="K60" s="64"/>
      <c r="L60" s="981">
        <f t="shared" si="15"/>
        <v>0</v>
      </c>
      <c r="M60" s="982">
        <f t="shared" si="16"/>
        <v>0</v>
      </c>
      <c r="N60" s="981">
        <f t="shared" si="17"/>
        <v>0</v>
      </c>
      <c r="O60" s="64"/>
      <c r="P60" s="64">
        <f t="shared" si="39"/>
        <v>0</v>
      </c>
      <c r="Q60" s="64">
        <f t="shared" si="40"/>
        <v>0</v>
      </c>
      <c r="R60" s="64">
        <f t="shared" si="41"/>
        <v>0</v>
      </c>
      <c r="S60" s="64">
        <f t="shared" si="42"/>
        <v>0</v>
      </c>
      <c r="T60" s="964">
        <f t="shared" si="43"/>
        <v>0</v>
      </c>
      <c r="U60" s="64"/>
      <c r="V60" s="972">
        <f t="shared" si="18"/>
        <v>0</v>
      </c>
    </row>
    <row r="61" spans="1:22" x14ac:dyDescent="0.25">
      <c r="A61" s="527" t="s">
        <v>60</v>
      </c>
      <c r="B61" s="533" t="s">
        <v>61</v>
      </c>
      <c r="C61" s="64"/>
      <c r="D61" s="64"/>
      <c r="E61" s="64"/>
      <c r="F61" s="64"/>
      <c r="G61" s="64"/>
      <c r="H61" s="64"/>
      <c r="I61" s="64"/>
      <c r="J61" s="64">
        <v>0</v>
      </c>
      <c r="K61" s="64"/>
      <c r="L61" s="981">
        <f t="shared" si="15"/>
        <v>0</v>
      </c>
      <c r="M61" s="982">
        <f t="shared" si="16"/>
        <v>0</v>
      </c>
      <c r="N61" s="981">
        <f t="shared" si="17"/>
        <v>0</v>
      </c>
      <c r="O61" s="64"/>
      <c r="P61" s="64">
        <f t="shared" si="39"/>
        <v>0</v>
      </c>
      <c r="Q61" s="64">
        <f t="shared" si="40"/>
        <v>0</v>
      </c>
      <c r="R61" s="64">
        <f t="shared" si="41"/>
        <v>0</v>
      </c>
      <c r="S61" s="64">
        <f t="shared" si="42"/>
        <v>0</v>
      </c>
      <c r="T61" s="964">
        <f t="shared" si="43"/>
        <v>0</v>
      </c>
      <c r="U61" s="64"/>
      <c r="V61" s="972">
        <f t="shared" si="18"/>
        <v>0</v>
      </c>
    </row>
    <row r="62" spans="1:22" ht="26.4" x14ac:dyDescent="0.25">
      <c r="A62" s="533"/>
      <c r="B62" s="533" t="s">
        <v>62</v>
      </c>
      <c r="C62" s="64"/>
      <c r="D62" s="64"/>
      <c r="E62" s="64"/>
      <c r="F62" s="64"/>
      <c r="G62" s="64"/>
      <c r="H62" s="64"/>
      <c r="I62" s="64"/>
      <c r="J62" s="64"/>
      <c r="K62" s="64"/>
      <c r="L62" s="981">
        <f t="shared" si="15"/>
        <v>0</v>
      </c>
      <c r="M62" s="982">
        <f t="shared" si="16"/>
        <v>0</v>
      </c>
      <c r="N62" s="981">
        <f t="shared" si="17"/>
        <v>0</v>
      </c>
      <c r="O62" s="64"/>
      <c r="P62" s="64">
        <f t="shared" si="39"/>
        <v>0</v>
      </c>
      <c r="Q62" s="64">
        <f t="shared" si="40"/>
        <v>0</v>
      </c>
      <c r="R62" s="64">
        <f t="shared" si="41"/>
        <v>0</v>
      </c>
      <c r="S62" s="64">
        <f t="shared" si="42"/>
        <v>0</v>
      </c>
      <c r="T62" s="964">
        <f t="shared" si="43"/>
        <v>0</v>
      </c>
      <c r="U62" s="64"/>
      <c r="V62" s="972">
        <f t="shared" si="18"/>
        <v>0</v>
      </c>
    </row>
    <row r="63" spans="1:22" x14ac:dyDescent="0.25">
      <c r="A63" s="527" t="s">
        <v>63</v>
      </c>
      <c r="B63" s="533" t="s">
        <v>64</v>
      </c>
      <c r="C63" s="64">
        <v>600000</v>
      </c>
      <c r="D63" s="64">
        <v>970000</v>
      </c>
      <c r="E63" s="64">
        <v>1140000</v>
      </c>
      <c r="F63" s="64">
        <v>1380000</v>
      </c>
      <c r="G63" s="64"/>
      <c r="H63" s="64">
        <v>793900</v>
      </c>
      <c r="I63" s="64">
        <v>904570</v>
      </c>
      <c r="J63" s="64">
        <v>1300170</v>
      </c>
      <c r="K63" s="64"/>
      <c r="L63" s="981">
        <f t="shared" si="15"/>
        <v>1.3231666666666666</v>
      </c>
      <c r="M63" s="987">
        <f t="shared" si="16"/>
        <v>0.93254639175257736</v>
      </c>
      <c r="N63" s="981">
        <f t="shared" si="17"/>
        <v>1.1405000000000001</v>
      </c>
      <c r="O63" s="64"/>
      <c r="P63" s="64">
        <f t="shared" si="39"/>
        <v>370000</v>
      </c>
      <c r="Q63" s="64">
        <f t="shared" si="40"/>
        <v>170000</v>
      </c>
      <c r="R63" s="64">
        <f t="shared" si="41"/>
        <v>240000</v>
      </c>
      <c r="S63" s="64">
        <f t="shared" si="42"/>
        <v>780000</v>
      </c>
      <c r="T63" s="964">
        <f t="shared" si="43"/>
        <v>1.3</v>
      </c>
      <c r="U63" s="64"/>
      <c r="V63" s="972">
        <f t="shared" si="18"/>
        <v>0</v>
      </c>
    </row>
    <row r="64" spans="1:22" ht="79.2" x14ac:dyDescent="0.25">
      <c r="A64" s="527"/>
      <c r="B64" s="533" t="s">
        <v>103</v>
      </c>
      <c r="C64" s="64"/>
      <c r="D64" s="64"/>
      <c r="E64" s="64"/>
      <c r="F64" s="64"/>
      <c r="G64" s="64"/>
      <c r="H64" s="64">
        <v>0</v>
      </c>
      <c r="I64" s="64"/>
      <c r="J64" s="64"/>
      <c r="K64" s="64"/>
      <c r="L64" s="981">
        <f t="shared" si="15"/>
        <v>0</v>
      </c>
      <c r="M64" s="982">
        <f t="shared" si="16"/>
        <v>0</v>
      </c>
      <c r="N64" s="981">
        <f t="shared" si="17"/>
        <v>0</v>
      </c>
      <c r="O64" s="64"/>
      <c r="P64" s="64">
        <f t="shared" si="39"/>
        <v>0</v>
      </c>
      <c r="Q64" s="64">
        <f t="shared" si="40"/>
        <v>0</v>
      </c>
      <c r="R64" s="64">
        <f t="shared" si="41"/>
        <v>0</v>
      </c>
      <c r="S64" s="64">
        <f t="shared" si="42"/>
        <v>0</v>
      </c>
      <c r="T64" s="964">
        <f t="shared" si="43"/>
        <v>0</v>
      </c>
      <c r="U64" s="64"/>
      <c r="V64" s="972">
        <f t="shared" si="18"/>
        <v>0</v>
      </c>
    </row>
    <row r="65" spans="1:24" x14ac:dyDescent="0.25">
      <c r="A65" s="527" t="s">
        <v>65</v>
      </c>
      <c r="B65" s="533" t="s">
        <v>66</v>
      </c>
      <c r="C65" s="64">
        <v>500000</v>
      </c>
      <c r="D65" s="64">
        <v>870000</v>
      </c>
      <c r="E65" s="64">
        <v>1140000</v>
      </c>
      <c r="F65" s="64">
        <v>1330000</v>
      </c>
      <c r="G65" s="64"/>
      <c r="H65" s="64">
        <v>598995</v>
      </c>
      <c r="I65" s="64">
        <v>1002267</v>
      </c>
      <c r="J65" s="64">
        <v>1199363</v>
      </c>
      <c r="K65" s="64"/>
      <c r="L65" s="981">
        <f t="shared" si="15"/>
        <v>1.1979900000000001</v>
      </c>
      <c r="M65" s="987">
        <f t="shared" si="16"/>
        <v>1.1520310344827587</v>
      </c>
      <c r="N65" s="981">
        <f t="shared" si="17"/>
        <v>1.0520728070175438</v>
      </c>
      <c r="O65" s="64"/>
      <c r="P65" s="64">
        <f t="shared" si="39"/>
        <v>370000</v>
      </c>
      <c r="Q65" s="64">
        <f t="shared" si="40"/>
        <v>270000</v>
      </c>
      <c r="R65" s="64">
        <f t="shared" si="41"/>
        <v>190000</v>
      </c>
      <c r="S65" s="64">
        <f t="shared" si="42"/>
        <v>830000</v>
      </c>
      <c r="T65" s="964">
        <f t="shared" si="43"/>
        <v>1.66</v>
      </c>
      <c r="U65" s="64"/>
      <c r="V65" s="972">
        <f t="shared" si="18"/>
        <v>0</v>
      </c>
    </row>
    <row r="66" spans="1:24" ht="39.6" x14ac:dyDescent="0.25">
      <c r="A66" s="527"/>
      <c r="B66" s="533" t="s">
        <v>67</v>
      </c>
      <c r="C66" s="64"/>
      <c r="D66" s="64"/>
      <c r="E66" s="64"/>
      <c r="F66" s="64"/>
      <c r="G66" s="64"/>
      <c r="H66" s="64"/>
      <c r="I66" s="64"/>
      <c r="J66" s="64"/>
      <c r="K66" s="64"/>
      <c r="L66" s="981">
        <f t="shared" si="15"/>
        <v>0</v>
      </c>
      <c r="M66" s="982">
        <f t="shared" si="16"/>
        <v>0</v>
      </c>
      <c r="N66" s="981">
        <f t="shared" si="17"/>
        <v>0</v>
      </c>
      <c r="O66" s="64"/>
      <c r="P66" s="64">
        <f t="shared" si="39"/>
        <v>0</v>
      </c>
      <c r="Q66" s="64">
        <f t="shared" si="40"/>
        <v>0</v>
      </c>
      <c r="R66" s="64">
        <f t="shared" si="41"/>
        <v>0</v>
      </c>
      <c r="S66" s="64">
        <f t="shared" si="42"/>
        <v>0</v>
      </c>
      <c r="T66" s="964">
        <f t="shared" si="43"/>
        <v>0</v>
      </c>
      <c r="U66" s="64"/>
      <c r="V66" s="972">
        <f t="shared" si="18"/>
        <v>0</v>
      </c>
    </row>
    <row r="67" spans="1:24" s="26" customFormat="1" x14ac:dyDescent="0.25">
      <c r="A67" s="515" t="s">
        <v>68</v>
      </c>
      <c r="B67" s="516" t="s">
        <v>69</v>
      </c>
      <c r="C67" s="167">
        <f>+C68+C70</f>
        <v>200000</v>
      </c>
      <c r="D67" s="167">
        <f t="shared" ref="D67:F67" si="44">+D68+D70</f>
        <v>200000</v>
      </c>
      <c r="E67" s="167">
        <f t="shared" si="44"/>
        <v>200000</v>
      </c>
      <c r="F67" s="167">
        <f t="shared" si="44"/>
        <v>200000</v>
      </c>
      <c r="G67" s="167"/>
      <c r="H67" s="167">
        <f>+H68+H70</f>
        <v>53820</v>
      </c>
      <c r="I67" s="167">
        <f>+I68+I70</f>
        <v>97765</v>
      </c>
      <c r="J67" s="167">
        <f>+J68+J70</f>
        <v>153210</v>
      </c>
      <c r="K67" s="167"/>
      <c r="L67" s="985">
        <f t="shared" si="15"/>
        <v>0.26910000000000001</v>
      </c>
      <c r="M67" s="986">
        <f t="shared" si="16"/>
        <v>0.48882500000000001</v>
      </c>
      <c r="N67" s="985">
        <f t="shared" si="17"/>
        <v>0.76605000000000001</v>
      </c>
      <c r="O67" s="167"/>
      <c r="P67" s="167">
        <f t="shared" si="39"/>
        <v>0</v>
      </c>
      <c r="Q67" s="167">
        <f t="shared" si="40"/>
        <v>0</v>
      </c>
      <c r="R67" s="167">
        <f t="shared" si="41"/>
        <v>0</v>
      </c>
      <c r="S67" s="167">
        <f t="shared" si="42"/>
        <v>0</v>
      </c>
      <c r="T67" s="965">
        <f t="shared" si="43"/>
        <v>0</v>
      </c>
      <c r="U67" s="167"/>
      <c r="V67" s="974">
        <f t="shared" si="18"/>
        <v>0</v>
      </c>
      <c r="X67" s="33"/>
    </row>
    <row r="68" spans="1:24" x14ac:dyDescent="0.25">
      <c r="A68" s="527" t="s">
        <v>70</v>
      </c>
      <c r="B68" s="533" t="s">
        <v>71</v>
      </c>
      <c r="C68" s="64">
        <v>200000</v>
      </c>
      <c r="D68" s="64">
        <v>200000</v>
      </c>
      <c r="E68" s="64">
        <v>200000</v>
      </c>
      <c r="F68" s="64">
        <v>200000</v>
      </c>
      <c r="G68" s="64"/>
      <c r="H68" s="64">
        <v>53820</v>
      </c>
      <c r="I68" s="64">
        <v>97765</v>
      </c>
      <c r="J68" s="64">
        <v>153210</v>
      </c>
      <c r="K68" s="64"/>
      <c r="L68" s="981">
        <f t="shared" si="15"/>
        <v>0.26910000000000001</v>
      </c>
      <c r="M68" s="982">
        <f t="shared" si="16"/>
        <v>0.48882500000000001</v>
      </c>
      <c r="N68" s="981">
        <f t="shared" si="17"/>
        <v>0.76605000000000001</v>
      </c>
      <c r="O68" s="64"/>
      <c r="P68" s="64">
        <f t="shared" si="39"/>
        <v>0</v>
      </c>
      <c r="Q68" s="64">
        <f t="shared" si="40"/>
        <v>0</v>
      </c>
      <c r="R68" s="64">
        <f t="shared" si="41"/>
        <v>0</v>
      </c>
      <c r="S68" s="64">
        <f t="shared" si="42"/>
        <v>0</v>
      </c>
      <c r="T68" s="964">
        <f t="shared" si="43"/>
        <v>0</v>
      </c>
      <c r="U68" s="64"/>
      <c r="V68" s="972">
        <f t="shared" si="18"/>
        <v>0</v>
      </c>
    </row>
    <row r="69" spans="1:24" ht="39.6" x14ac:dyDescent="0.25">
      <c r="A69" s="527"/>
      <c r="B69" s="533" t="s">
        <v>72</v>
      </c>
      <c r="C69" s="64"/>
      <c r="D69" s="64">
        <v>0</v>
      </c>
      <c r="E69" s="64"/>
      <c r="F69" s="64"/>
      <c r="G69" s="64"/>
      <c r="H69" s="64"/>
      <c r="I69" s="64"/>
      <c r="J69" s="64"/>
      <c r="K69" s="64"/>
      <c r="L69" s="981">
        <f t="shared" si="15"/>
        <v>0</v>
      </c>
      <c r="M69" s="982">
        <f t="shared" si="16"/>
        <v>0</v>
      </c>
      <c r="N69" s="981">
        <f t="shared" si="17"/>
        <v>0</v>
      </c>
      <c r="O69" s="64"/>
      <c r="P69" s="64">
        <f t="shared" si="39"/>
        <v>0</v>
      </c>
      <c r="Q69" s="64">
        <f t="shared" si="40"/>
        <v>0</v>
      </c>
      <c r="R69" s="64">
        <f t="shared" si="41"/>
        <v>0</v>
      </c>
      <c r="S69" s="64">
        <f t="shared" si="42"/>
        <v>0</v>
      </c>
      <c r="T69" s="964">
        <f t="shared" si="43"/>
        <v>0</v>
      </c>
      <c r="U69" s="64"/>
      <c r="V69" s="972">
        <f t="shared" si="18"/>
        <v>0</v>
      </c>
      <c r="X69" s="23"/>
    </row>
    <row r="70" spans="1:24" x14ac:dyDescent="0.25">
      <c r="A70" s="527" t="s">
        <v>73</v>
      </c>
      <c r="B70" s="533" t="s">
        <v>101</v>
      </c>
      <c r="C70" s="64"/>
      <c r="D70" s="64"/>
      <c r="E70" s="64"/>
      <c r="F70" s="64"/>
      <c r="G70" s="64"/>
      <c r="H70" s="64"/>
      <c r="I70" s="64"/>
      <c r="J70" s="64"/>
      <c r="K70" s="64"/>
      <c r="L70" s="981">
        <f t="shared" si="15"/>
        <v>0</v>
      </c>
      <c r="M70" s="982">
        <f t="shared" si="16"/>
        <v>0</v>
      </c>
      <c r="N70" s="981">
        <f t="shared" si="17"/>
        <v>0</v>
      </c>
      <c r="O70" s="64"/>
      <c r="P70" s="64">
        <f t="shared" si="39"/>
        <v>0</v>
      </c>
      <c r="Q70" s="64">
        <f t="shared" si="40"/>
        <v>0</v>
      </c>
      <c r="R70" s="64">
        <f t="shared" si="41"/>
        <v>0</v>
      </c>
      <c r="S70" s="64">
        <f t="shared" si="42"/>
        <v>0</v>
      </c>
      <c r="T70" s="964">
        <f t="shared" si="43"/>
        <v>0</v>
      </c>
      <c r="U70" s="64"/>
      <c r="V70" s="972">
        <f t="shared" si="18"/>
        <v>0</v>
      </c>
      <c r="X70" s="23"/>
    </row>
    <row r="71" spans="1:24" ht="39.6" x14ac:dyDescent="0.25">
      <c r="A71" s="527"/>
      <c r="B71" s="533" t="s">
        <v>74</v>
      </c>
      <c r="C71" s="64"/>
      <c r="D71" s="64"/>
      <c r="E71" s="64"/>
      <c r="F71" s="64"/>
      <c r="G71" s="64"/>
      <c r="H71" s="64"/>
      <c r="I71" s="64"/>
      <c r="J71" s="64"/>
      <c r="K71" s="64"/>
      <c r="L71" s="981">
        <f t="shared" si="15"/>
        <v>0</v>
      </c>
      <c r="M71" s="982">
        <f t="shared" si="16"/>
        <v>0</v>
      </c>
      <c r="N71" s="981">
        <f t="shared" si="17"/>
        <v>0</v>
      </c>
      <c r="O71" s="64"/>
      <c r="P71" s="64">
        <f t="shared" si="39"/>
        <v>0</v>
      </c>
      <c r="Q71" s="64">
        <f t="shared" si="40"/>
        <v>0</v>
      </c>
      <c r="R71" s="64">
        <f t="shared" si="41"/>
        <v>0</v>
      </c>
      <c r="S71" s="64">
        <f t="shared" si="42"/>
        <v>0</v>
      </c>
      <c r="T71" s="964">
        <f t="shared" si="43"/>
        <v>0</v>
      </c>
      <c r="U71" s="64"/>
      <c r="V71" s="972">
        <f t="shared" si="18"/>
        <v>0</v>
      </c>
      <c r="X71" s="23"/>
    </row>
    <row r="72" spans="1:24" x14ac:dyDescent="0.25">
      <c r="A72" s="515" t="s">
        <v>75</v>
      </c>
      <c r="B72" s="516" t="s">
        <v>76</v>
      </c>
      <c r="C72" s="167">
        <f>+C73+C75+C77+C79+C81</f>
        <v>2205000</v>
      </c>
      <c r="D72" s="167">
        <f>+D73+D75+D77+D79+D81</f>
        <v>2215000</v>
      </c>
      <c r="E72" s="167">
        <f>+E73+E75+E77+E79+E81</f>
        <v>2215000</v>
      </c>
      <c r="F72" s="167">
        <f>+F73+F75+F77+F79+F81</f>
        <v>2355000</v>
      </c>
      <c r="G72" s="167"/>
      <c r="H72" s="167">
        <f>+H73+H75+H77+H79+H81</f>
        <v>1002306</v>
      </c>
      <c r="I72" s="167">
        <f>+I73+I75+I77+I79+I81</f>
        <v>1428142</v>
      </c>
      <c r="J72" s="167">
        <f>+J73+J75+J77+J79+J81</f>
        <v>2141092</v>
      </c>
      <c r="K72" s="167"/>
      <c r="L72" s="985">
        <f t="shared" si="15"/>
        <v>0.4545605442176871</v>
      </c>
      <c r="M72" s="986">
        <f t="shared" si="16"/>
        <v>0.64475936794582389</v>
      </c>
      <c r="N72" s="985">
        <f t="shared" si="17"/>
        <v>0.96663295711060948</v>
      </c>
      <c r="O72" s="167"/>
      <c r="P72" s="167">
        <f t="shared" si="39"/>
        <v>10000</v>
      </c>
      <c r="Q72" s="167">
        <f t="shared" si="40"/>
        <v>0</v>
      </c>
      <c r="R72" s="167">
        <f t="shared" si="41"/>
        <v>140000</v>
      </c>
      <c r="S72" s="167">
        <f t="shared" si="42"/>
        <v>150000</v>
      </c>
      <c r="T72" s="965">
        <f t="shared" si="43"/>
        <v>6.8027210884353748E-2</v>
      </c>
      <c r="U72" s="167"/>
      <c r="V72" s="974">
        <f t="shared" si="18"/>
        <v>0</v>
      </c>
      <c r="X72" s="23"/>
    </row>
    <row r="73" spans="1:24" x14ac:dyDescent="0.25">
      <c r="A73" s="527" t="s">
        <v>77</v>
      </c>
      <c r="B73" s="533" t="s">
        <v>78</v>
      </c>
      <c r="C73" s="64">
        <v>2200000</v>
      </c>
      <c r="D73" s="64">
        <v>2200000</v>
      </c>
      <c r="E73" s="64">
        <v>2200000</v>
      </c>
      <c r="F73" s="64">
        <v>2337000</v>
      </c>
      <c r="G73" s="64"/>
      <c r="H73" s="64">
        <v>999919</v>
      </c>
      <c r="I73" s="64">
        <v>1425120</v>
      </c>
      <c r="J73" s="64">
        <v>2136395</v>
      </c>
      <c r="K73" s="64"/>
      <c r="L73" s="981">
        <f t="shared" si="15"/>
        <v>0.45450863636363636</v>
      </c>
      <c r="M73" s="987">
        <f t="shared" si="16"/>
        <v>0.64778181818181824</v>
      </c>
      <c r="N73" s="981">
        <f t="shared" si="17"/>
        <v>0.9710886363636364</v>
      </c>
      <c r="O73" s="64"/>
      <c r="P73" s="64">
        <f t="shared" si="39"/>
        <v>0</v>
      </c>
      <c r="Q73" s="64">
        <f t="shared" si="40"/>
        <v>0</v>
      </c>
      <c r="R73" s="64">
        <f t="shared" si="41"/>
        <v>137000</v>
      </c>
      <c r="S73" s="64">
        <f t="shared" si="42"/>
        <v>137000</v>
      </c>
      <c r="T73" s="964">
        <f t="shared" si="43"/>
        <v>6.2272727272727271E-2</v>
      </c>
      <c r="U73" s="64"/>
      <c r="V73" s="972">
        <f t="shared" si="18"/>
        <v>0</v>
      </c>
      <c r="X73" s="23"/>
    </row>
    <row r="74" spans="1:24" x14ac:dyDescent="0.25">
      <c r="A74" s="527"/>
      <c r="B74" s="533" t="s">
        <v>79</v>
      </c>
      <c r="C74" s="64"/>
      <c r="D74" s="64">
        <v>0</v>
      </c>
      <c r="E74" s="64">
        <v>0</v>
      </c>
      <c r="F74" s="64"/>
      <c r="G74" s="64"/>
      <c r="H74" s="64"/>
      <c r="I74" s="64"/>
      <c r="J74" s="64"/>
      <c r="K74" s="64"/>
      <c r="L74" s="981">
        <f t="shared" si="15"/>
        <v>0</v>
      </c>
      <c r="M74" s="982">
        <f t="shared" si="16"/>
        <v>0</v>
      </c>
      <c r="N74" s="981">
        <f t="shared" si="17"/>
        <v>0</v>
      </c>
      <c r="O74" s="64"/>
      <c r="P74" s="64">
        <f t="shared" si="39"/>
        <v>0</v>
      </c>
      <c r="Q74" s="64">
        <f t="shared" si="40"/>
        <v>0</v>
      </c>
      <c r="R74" s="64">
        <f t="shared" si="41"/>
        <v>0</v>
      </c>
      <c r="S74" s="64">
        <f t="shared" si="42"/>
        <v>0</v>
      </c>
      <c r="T74" s="964">
        <f t="shared" si="43"/>
        <v>0</v>
      </c>
      <c r="U74" s="64"/>
      <c r="V74" s="972">
        <f t="shared" si="18"/>
        <v>0</v>
      </c>
      <c r="X74" s="23"/>
    </row>
    <row r="75" spans="1:24" x14ac:dyDescent="0.25">
      <c r="A75" s="527" t="s">
        <v>80</v>
      </c>
      <c r="B75" s="533" t="s">
        <v>81</v>
      </c>
      <c r="C75" s="64"/>
      <c r="D75" s="64"/>
      <c r="E75" s="64"/>
      <c r="F75" s="64">
        <v>3000</v>
      </c>
      <c r="G75" s="64"/>
      <c r="H75" s="64"/>
      <c r="I75" s="64"/>
      <c r="J75" s="64"/>
      <c r="K75" s="64"/>
      <c r="L75" s="981">
        <f t="shared" si="15"/>
        <v>0</v>
      </c>
      <c r="M75" s="982">
        <f t="shared" si="16"/>
        <v>0</v>
      </c>
      <c r="N75" s="981">
        <f t="shared" si="17"/>
        <v>0</v>
      </c>
      <c r="O75" s="64"/>
      <c r="P75" s="64">
        <f t="shared" si="39"/>
        <v>0</v>
      </c>
      <c r="Q75" s="64">
        <f t="shared" si="40"/>
        <v>0</v>
      </c>
      <c r="R75" s="64">
        <f t="shared" si="41"/>
        <v>3000</v>
      </c>
      <c r="S75" s="64">
        <f t="shared" si="42"/>
        <v>3000</v>
      </c>
      <c r="T75" s="964">
        <f t="shared" si="43"/>
        <v>0</v>
      </c>
      <c r="U75" s="64"/>
      <c r="V75" s="972">
        <f t="shared" si="18"/>
        <v>0</v>
      </c>
      <c r="X75" s="23"/>
    </row>
    <row r="76" spans="1:24" ht="26.4" x14ac:dyDescent="0.25">
      <c r="A76" s="527"/>
      <c r="B76" s="533" t="s">
        <v>102</v>
      </c>
      <c r="C76" s="64"/>
      <c r="D76" s="64"/>
      <c r="E76" s="64"/>
      <c r="F76" s="64"/>
      <c r="G76" s="64"/>
      <c r="H76" s="64"/>
      <c r="I76" s="64"/>
      <c r="J76" s="64"/>
      <c r="K76" s="64"/>
      <c r="L76" s="981">
        <f t="shared" si="15"/>
        <v>0</v>
      </c>
      <c r="M76" s="982">
        <f t="shared" si="16"/>
        <v>0</v>
      </c>
      <c r="N76" s="981">
        <f t="shared" si="17"/>
        <v>0</v>
      </c>
      <c r="O76" s="64"/>
      <c r="P76" s="64">
        <f t="shared" si="39"/>
        <v>0</v>
      </c>
      <c r="Q76" s="64">
        <f t="shared" si="40"/>
        <v>0</v>
      </c>
      <c r="R76" s="64">
        <f t="shared" si="41"/>
        <v>0</v>
      </c>
      <c r="S76" s="64">
        <f t="shared" si="42"/>
        <v>0</v>
      </c>
      <c r="T76" s="964">
        <f t="shared" si="43"/>
        <v>0</v>
      </c>
      <c r="U76" s="64"/>
      <c r="V76" s="972">
        <f t="shared" si="18"/>
        <v>0</v>
      </c>
      <c r="X76" s="23"/>
    </row>
    <row r="77" spans="1:24" x14ac:dyDescent="0.25">
      <c r="A77" s="527" t="s">
        <v>82</v>
      </c>
      <c r="B77" s="533" t="s">
        <v>83</v>
      </c>
      <c r="C77" s="64"/>
      <c r="D77" s="64"/>
      <c r="E77" s="64"/>
      <c r="F77" s="64"/>
      <c r="G77" s="64"/>
      <c r="H77" s="64"/>
      <c r="I77" s="64"/>
      <c r="J77" s="64"/>
      <c r="K77" s="64"/>
      <c r="L77" s="981">
        <f t="shared" ref="L77:L102" si="45">IF(C77=0,0,H77/C77)</f>
        <v>0</v>
      </c>
      <c r="M77" s="982">
        <f t="shared" ref="M77:M102" si="46">IF(D77=0,0,I77/D77)</f>
        <v>0</v>
      </c>
      <c r="N77" s="981">
        <f t="shared" ref="N77:N102" si="47">IF(E77=0,0,J77/E77)</f>
        <v>0</v>
      </c>
      <c r="O77" s="64"/>
      <c r="P77" s="64">
        <f t="shared" si="39"/>
        <v>0</v>
      </c>
      <c r="Q77" s="64">
        <f t="shared" si="40"/>
        <v>0</v>
      </c>
      <c r="R77" s="64">
        <f t="shared" si="41"/>
        <v>0</v>
      </c>
      <c r="S77" s="64">
        <f t="shared" si="42"/>
        <v>0</v>
      </c>
      <c r="T77" s="964">
        <f t="shared" si="43"/>
        <v>0</v>
      </c>
      <c r="U77" s="64"/>
      <c r="V77" s="972">
        <f t="shared" ref="V77:V101" si="48">+S77-F77+C77</f>
        <v>0</v>
      </c>
      <c r="X77" s="23"/>
    </row>
    <row r="78" spans="1:24" ht="26.4" x14ac:dyDescent="0.25">
      <c r="A78" s="527"/>
      <c r="B78" s="533" t="s">
        <v>84</v>
      </c>
      <c r="C78" s="64"/>
      <c r="D78" s="64"/>
      <c r="E78" s="64"/>
      <c r="F78" s="64"/>
      <c r="G78" s="64"/>
      <c r="H78" s="64"/>
      <c r="I78" s="64"/>
      <c r="J78" s="64"/>
      <c r="K78" s="64"/>
      <c r="L78" s="981">
        <f t="shared" si="45"/>
        <v>0</v>
      </c>
      <c r="M78" s="982">
        <f t="shared" si="46"/>
        <v>0</v>
      </c>
      <c r="N78" s="981">
        <f t="shared" si="47"/>
        <v>0</v>
      </c>
      <c r="O78" s="64"/>
      <c r="P78" s="64">
        <f t="shared" si="39"/>
        <v>0</v>
      </c>
      <c r="Q78" s="64">
        <f t="shared" si="40"/>
        <v>0</v>
      </c>
      <c r="R78" s="64">
        <f t="shared" si="41"/>
        <v>0</v>
      </c>
      <c r="S78" s="64">
        <f t="shared" si="42"/>
        <v>0</v>
      </c>
      <c r="T78" s="964">
        <f t="shared" si="43"/>
        <v>0</v>
      </c>
      <c r="U78" s="64"/>
      <c r="V78" s="972">
        <f t="shared" si="48"/>
        <v>0</v>
      </c>
      <c r="X78" s="23"/>
    </row>
    <row r="79" spans="1:24" x14ac:dyDescent="0.25">
      <c r="A79" s="527" t="s">
        <v>85</v>
      </c>
      <c r="B79" s="533" t="s">
        <v>86</v>
      </c>
      <c r="C79" s="64"/>
      <c r="D79" s="64"/>
      <c r="E79" s="64"/>
      <c r="F79" s="64"/>
      <c r="G79" s="64"/>
      <c r="H79" s="64"/>
      <c r="I79" s="64"/>
      <c r="J79" s="64"/>
      <c r="K79" s="64"/>
      <c r="L79" s="981">
        <f t="shared" si="45"/>
        <v>0</v>
      </c>
      <c r="M79" s="982">
        <f t="shared" si="46"/>
        <v>0</v>
      </c>
      <c r="N79" s="981">
        <f t="shared" si="47"/>
        <v>0</v>
      </c>
      <c r="O79" s="64"/>
      <c r="P79" s="64">
        <f t="shared" si="39"/>
        <v>0</v>
      </c>
      <c r="Q79" s="64">
        <f t="shared" si="40"/>
        <v>0</v>
      </c>
      <c r="R79" s="64">
        <f t="shared" si="41"/>
        <v>0</v>
      </c>
      <c r="S79" s="64">
        <f t="shared" si="42"/>
        <v>0</v>
      </c>
      <c r="T79" s="964">
        <f t="shared" si="43"/>
        <v>0</v>
      </c>
      <c r="U79" s="64"/>
      <c r="V79" s="972">
        <f t="shared" si="48"/>
        <v>0</v>
      </c>
      <c r="X79" s="23"/>
    </row>
    <row r="80" spans="1:24" x14ac:dyDescent="0.25">
      <c r="A80" s="527"/>
      <c r="B80" s="533" t="s">
        <v>87</v>
      </c>
      <c r="C80" s="64"/>
      <c r="D80" s="64"/>
      <c r="E80" s="64"/>
      <c r="F80" s="64"/>
      <c r="G80" s="64"/>
      <c r="H80" s="64"/>
      <c r="I80" s="64"/>
      <c r="J80" s="64"/>
      <c r="K80" s="64"/>
      <c r="L80" s="981">
        <f t="shared" si="45"/>
        <v>0</v>
      </c>
      <c r="M80" s="982">
        <f t="shared" si="46"/>
        <v>0</v>
      </c>
      <c r="N80" s="981">
        <f t="shared" si="47"/>
        <v>0</v>
      </c>
      <c r="O80" s="64"/>
      <c r="P80" s="64">
        <f t="shared" si="39"/>
        <v>0</v>
      </c>
      <c r="Q80" s="64">
        <f t="shared" si="40"/>
        <v>0</v>
      </c>
      <c r="R80" s="64">
        <f t="shared" si="41"/>
        <v>0</v>
      </c>
      <c r="S80" s="64">
        <f t="shared" si="42"/>
        <v>0</v>
      </c>
      <c r="T80" s="964">
        <f t="shared" si="43"/>
        <v>0</v>
      </c>
      <c r="U80" s="64"/>
      <c r="V80" s="972">
        <f t="shared" si="48"/>
        <v>0</v>
      </c>
      <c r="X80" s="23"/>
    </row>
    <row r="81" spans="1:24" x14ac:dyDescent="0.25">
      <c r="A81" s="527" t="s">
        <v>88</v>
      </c>
      <c r="B81" s="533" t="s">
        <v>89</v>
      </c>
      <c r="C81" s="64">
        <v>5000</v>
      </c>
      <c r="D81" s="64">
        <v>15000</v>
      </c>
      <c r="E81" s="64">
        <v>15000</v>
      </c>
      <c r="F81" s="64">
        <v>15000</v>
      </c>
      <c r="G81" s="64"/>
      <c r="H81" s="64">
        <v>2387</v>
      </c>
      <c r="I81" s="64">
        <v>3022</v>
      </c>
      <c r="J81" s="64">
        <v>4697</v>
      </c>
      <c r="K81" s="64"/>
      <c r="L81" s="981">
        <f t="shared" si="45"/>
        <v>0.47739999999999999</v>
      </c>
      <c r="M81" s="980">
        <f t="shared" si="46"/>
        <v>0.20146666666666666</v>
      </c>
      <c r="N81" s="981">
        <f t="shared" si="47"/>
        <v>0.31313333333333332</v>
      </c>
      <c r="O81" s="64"/>
      <c r="P81" s="64">
        <f t="shared" si="39"/>
        <v>10000</v>
      </c>
      <c r="Q81" s="64">
        <f t="shared" si="40"/>
        <v>0</v>
      </c>
      <c r="R81" s="64">
        <f t="shared" si="41"/>
        <v>0</v>
      </c>
      <c r="S81" s="64">
        <f t="shared" si="42"/>
        <v>10000</v>
      </c>
      <c r="T81" s="964">
        <f t="shared" si="43"/>
        <v>2</v>
      </c>
      <c r="U81" s="64"/>
      <c r="V81" s="972">
        <f t="shared" si="48"/>
        <v>0</v>
      </c>
      <c r="X81" s="23"/>
    </row>
    <row r="82" spans="1:24" ht="52.8" x14ac:dyDescent="0.25">
      <c r="A82" s="527"/>
      <c r="B82" s="533" t="s">
        <v>93</v>
      </c>
      <c r="C82" s="64">
        <v>0</v>
      </c>
      <c r="D82" s="64">
        <v>0</v>
      </c>
      <c r="E82" s="64">
        <v>0</v>
      </c>
      <c r="F82" s="64"/>
      <c r="G82" s="64"/>
      <c r="H82" s="64">
        <v>0</v>
      </c>
      <c r="I82" s="64"/>
      <c r="J82" s="64"/>
      <c r="K82" s="64"/>
      <c r="L82" s="981">
        <f t="shared" si="45"/>
        <v>0</v>
      </c>
      <c r="M82" s="980">
        <f t="shared" si="46"/>
        <v>0</v>
      </c>
      <c r="N82" s="981">
        <f t="shared" si="47"/>
        <v>0</v>
      </c>
      <c r="O82" s="64"/>
      <c r="P82" s="64">
        <f t="shared" si="39"/>
        <v>0</v>
      </c>
      <c r="Q82" s="64">
        <f t="shared" si="40"/>
        <v>0</v>
      </c>
      <c r="R82" s="64">
        <f t="shared" si="41"/>
        <v>0</v>
      </c>
      <c r="S82" s="64">
        <f t="shared" si="42"/>
        <v>0</v>
      </c>
      <c r="T82" s="964">
        <f t="shared" si="43"/>
        <v>0</v>
      </c>
      <c r="U82" s="64"/>
      <c r="V82" s="972">
        <f t="shared" si="48"/>
        <v>0</v>
      </c>
      <c r="X82" s="23"/>
    </row>
    <row r="83" spans="1:24" x14ac:dyDescent="0.25">
      <c r="A83" s="527"/>
      <c r="B83" s="527"/>
      <c r="C83" s="64"/>
      <c r="D83" s="64"/>
      <c r="E83" s="64"/>
      <c r="F83" s="64"/>
      <c r="G83" s="64"/>
      <c r="H83" s="64"/>
      <c r="I83" s="64"/>
      <c r="J83" s="64"/>
      <c r="K83" s="64"/>
      <c r="L83" s="981">
        <f t="shared" si="45"/>
        <v>0</v>
      </c>
      <c r="M83" s="982">
        <f t="shared" si="46"/>
        <v>0</v>
      </c>
      <c r="N83" s="981">
        <f t="shared" si="47"/>
        <v>0</v>
      </c>
      <c r="O83" s="64"/>
      <c r="P83" s="64"/>
      <c r="Q83" s="64"/>
      <c r="R83" s="64"/>
      <c r="S83" s="64"/>
      <c r="T83" s="964"/>
      <c r="U83" s="64"/>
      <c r="V83" s="972">
        <f t="shared" si="48"/>
        <v>0</v>
      </c>
    </row>
    <row r="84" spans="1:24" x14ac:dyDescent="0.25">
      <c r="A84" s="967" t="s">
        <v>159</v>
      </c>
      <c r="B84" s="598" t="s">
        <v>160</v>
      </c>
      <c r="C84" s="128">
        <f>+C85</f>
        <v>3260000</v>
      </c>
      <c r="D84" s="128">
        <f>SUM(D85)</f>
        <v>3260000</v>
      </c>
      <c r="E84" s="128">
        <f>SUM(E85)</f>
        <v>3260000</v>
      </c>
      <c r="F84" s="128">
        <f>SUM(F85)</f>
        <v>2350000</v>
      </c>
      <c r="G84" s="128"/>
      <c r="H84" s="128">
        <f>SUM(H85)</f>
        <v>1006401</v>
      </c>
      <c r="I84" s="128">
        <f>SUM(I85)</f>
        <v>1414881</v>
      </c>
      <c r="J84" s="128">
        <f>SUM(J85)</f>
        <v>1719571</v>
      </c>
      <c r="K84" s="968"/>
      <c r="L84" s="988">
        <f t="shared" si="45"/>
        <v>0.30871196319018407</v>
      </c>
      <c r="M84" s="989">
        <f t="shared" si="46"/>
        <v>0.43401257668711657</v>
      </c>
      <c r="N84" s="988">
        <f t="shared" si="47"/>
        <v>0.5274757668711656</v>
      </c>
      <c r="O84" s="968"/>
      <c r="P84" s="968">
        <f t="shared" si="39"/>
        <v>0</v>
      </c>
      <c r="Q84" s="968">
        <f t="shared" si="40"/>
        <v>0</v>
      </c>
      <c r="R84" s="968">
        <f t="shared" si="41"/>
        <v>-910000</v>
      </c>
      <c r="S84" s="968">
        <f t="shared" si="42"/>
        <v>-910000</v>
      </c>
      <c r="T84" s="969">
        <f t="shared" si="43"/>
        <v>-0.27914110429447853</v>
      </c>
      <c r="U84" s="968"/>
      <c r="V84" s="975">
        <f t="shared" si="48"/>
        <v>0</v>
      </c>
      <c r="X84" s="23"/>
    </row>
    <row r="85" spans="1:24" x14ac:dyDescent="0.25">
      <c r="A85" s="527" t="s">
        <v>168</v>
      </c>
      <c r="B85" s="533" t="s">
        <v>390</v>
      </c>
      <c r="C85" s="64">
        <v>3260000</v>
      </c>
      <c r="D85" s="64">
        <v>3260000</v>
      </c>
      <c r="E85" s="64">
        <v>3260000</v>
      </c>
      <c r="F85" s="64">
        <v>2350000</v>
      </c>
      <c r="G85" s="64"/>
      <c r="H85" s="64">
        <v>1006401</v>
      </c>
      <c r="I85" s="64">
        <v>1414881</v>
      </c>
      <c r="J85" s="64">
        <v>1719571</v>
      </c>
      <c r="K85" s="64"/>
      <c r="L85" s="980">
        <f t="shared" si="45"/>
        <v>0.30871196319018407</v>
      </c>
      <c r="M85" s="980">
        <f t="shared" si="46"/>
        <v>0.43401257668711657</v>
      </c>
      <c r="N85" s="980">
        <f t="shared" si="47"/>
        <v>0.5274757668711656</v>
      </c>
      <c r="O85" s="64"/>
      <c r="P85" s="503">
        <f t="shared" ref="P85" si="49">+(D85-C85)*P$10</f>
        <v>0</v>
      </c>
      <c r="Q85" s="503">
        <f t="shared" ref="Q85" si="50">+(E85-D85)*Q$10</f>
        <v>0</v>
      </c>
      <c r="R85" s="503">
        <f t="shared" ref="R85" si="51">+(F85-E85)*R$10</f>
        <v>-910000</v>
      </c>
      <c r="S85" s="503">
        <f t="shared" ref="S85" si="52">SUM(P85:R85)</f>
        <v>-910000</v>
      </c>
      <c r="T85" s="963">
        <f t="shared" ref="T85" si="53">IF(C85=0,0,+S85/C85)</f>
        <v>-0.27914110429447853</v>
      </c>
      <c r="U85" s="152"/>
      <c r="V85" s="690">
        <f t="shared" si="48"/>
        <v>0</v>
      </c>
    </row>
    <row r="86" spans="1:24" x14ac:dyDescent="0.25">
      <c r="A86" s="527"/>
      <c r="B86" s="527"/>
      <c r="C86" s="64"/>
      <c r="D86" s="64"/>
      <c r="E86" s="64"/>
      <c r="F86" s="64"/>
      <c r="G86" s="64"/>
      <c r="H86" s="64"/>
      <c r="I86" s="64"/>
      <c r="J86" s="64"/>
      <c r="K86" s="64"/>
      <c r="L86" s="981">
        <f t="shared" si="45"/>
        <v>0</v>
      </c>
      <c r="M86" s="982">
        <f t="shared" si="46"/>
        <v>0</v>
      </c>
      <c r="N86" s="981">
        <f t="shared" si="47"/>
        <v>0</v>
      </c>
      <c r="O86" s="64"/>
      <c r="P86" s="64"/>
      <c r="Q86" s="64"/>
      <c r="R86" s="64"/>
      <c r="S86" s="64"/>
      <c r="T86" s="964"/>
      <c r="U86" s="64"/>
      <c r="V86" s="972">
        <f t="shared" si="48"/>
        <v>0</v>
      </c>
    </row>
    <row r="87" spans="1:24" x14ac:dyDescent="0.25">
      <c r="A87" s="720" t="s">
        <v>174</v>
      </c>
      <c r="B87" s="149" t="s">
        <v>175</v>
      </c>
      <c r="C87" s="128">
        <f>+C88</f>
        <v>0</v>
      </c>
      <c r="D87" s="128">
        <f>SUM(D88)</f>
        <v>0</v>
      </c>
      <c r="E87" s="128">
        <f>SUM(E88)</f>
        <v>0</v>
      </c>
      <c r="F87" s="128">
        <f>SUM(F88)</f>
        <v>0</v>
      </c>
      <c r="G87" s="128"/>
      <c r="H87" s="128">
        <f>SUM(H88)</f>
        <v>0</v>
      </c>
      <c r="I87" s="128">
        <f>SUM(I88)</f>
        <v>0</v>
      </c>
      <c r="J87" s="128">
        <f>SUM(J88)</f>
        <v>0</v>
      </c>
      <c r="K87" s="128"/>
      <c r="L87" s="988">
        <f t="shared" si="45"/>
        <v>0</v>
      </c>
      <c r="M87" s="984">
        <f t="shared" si="46"/>
        <v>0</v>
      </c>
      <c r="N87" s="983">
        <f t="shared" si="47"/>
        <v>0</v>
      </c>
      <c r="O87" s="128"/>
      <c r="P87" s="128">
        <f t="shared" ref="P87:P88" si="54">+(D87-C87)*P$10</f>
        <v>0</v>
      </c>
      <c r="Q87" s="128">
        <f t="shared" ref="Q87:Q88" si="55">+(E87-D87)*Q$10</f>
        <v>0</v>
      </c>
      <c r="R87" s="128">
        <f t="shared" ref="R87:R88" si="56">+(F87-E87)*R$10</f>
        <v>0</v>
      </c>
      <c r="S87" s="128">
        <f t="shared" ref="S87:S88" si="57">SUM(P87:R87)</f>
        <v>0</v>
      </c>
      <c r="T87" s="960">
        <f t="shared" ref="T87:T88" si="58">IF(C87=0,0,+S87/C87)</f>
        <v>0</v>
      </c>
      <c r="U87" s="128"/>
      <c r="V87" s="973">
        <f t="shared" si="48"/>
        <v>0</v>
      </c>
    </row>
    <row r="88" spans="1:24" x14ac:dyDescent="0.25">
      <c r="A88" s="527"/>
      <c r="B88" s="533"/>
      <c r="C88" s="64"/>
      <c r="D88" s="64"/>
      <c r="E88" s="64"/>
      <c r="F88" s="64"/>
      <c r="G88" s="64"/>
      <c r="H88" s="64"/>
      <c r="I88" s="64"/>
      <c r="J88" s="64"/>
      <c r="K88" s="64"/>
      <c r="L88" s="980">
        <f t="shared" si="45"/>
        <v>0</v>
      </c>
      <c r="M88" s="980">
        <f t="shared" si="46"/>
        <v>0</v>
      </c>
      <c r="N88" s="980">
        <f t="shared" si="47"/>
        <v>0</v>
      </c>
      <c r="O88" s="64"/>
      <c r="P88" s="503">
        <f t="shared" si="54"/>
        <v>0</v>
      </c>
      <c r="Q88" s="503">
        <f t="shared" si="55"/>
        <v>0</v>
      </c>
      <c r="R88" s="503">
        <f t="shared" si="56"/>
        <v>0</v>
      </c>
      <c r="S88" s="503">
        <f t="shared" si="57"/>
        <v>0</v>
      </c>
      <c r="T88" s="963">
        <f t="shared" si="58"/>
        <v>0</v>
      </c>
      <c r="U88" s="152"/>
      <c r="V88" s="690">
        <f t="shared" si="48"/>
        <v>0</v>
      </c>
    </row>
    <row r="89" spans="1:24" hidden="1" x14ac:dyDescent="0.25">
      <c r="A89" s="527"/>
      <c r="B89" s="527"/>
      <c r="C89" s="64"/>
      <c r="D89" s="64"/>
      <c r="E89" s="64"/>
      <c r="F89" s="64"/>
      <c r="G89" s="64"/>
      <c r="H89" s="64"/>
      <c r="I89" s="64"/>
      <c r="J89" s="64"/>
      <c r="K89" s="64"/>
      <c r="L89" s="981">
        <f t="shared" si="45"/>
        <v>0</v>
      </c>
      <c r="M89" s="982">
        <f t="shared" si="46"/>
        <v>0</v>
      </c>
      <c r="N89" s="981">
        <f t="shared" si="47"/>
        <v>0</v>
      </c>
      <c r="O89" s="64"/>
      <c r="P89" s="64"/>
      <c r="Q89" s="64"/>
      <c r="R89" s="64"/>
      <c r="S89" s="64"/>
      <c r="T89" s="964"/>
      <c r="U89" s="64"/>
      <c r="V89" s="972">
        <f t="shared" si="48"/>
        <v>0</v>
      </c>
    </row>
    <row r="90" spans="1:24" ht="19.2" customHeight="1" x14ac:dyDescent="0.25">
      <c r="A90" s="720"/>
      <c r="B90" s="149" t="s">
        <v>380</v>
      </c>
      <c r="C90" s="128">
        <f>C13+C30+C33+C84+C87</f>
        <v>196104000</v>
      </c>
      <c r="D90" s="128">
        <f t="shared" ref="D90:J90" si="59">D13+D30+D33+D84+D87</f>
        <v>196104000</v>
      </c>
      <c r="E90" s="128">
        <f t="shared" si="59"/>
        <v>196104000</v>
      </c>
      <c r="F90" s="128">
        <f t="shared" si="59"/>
        <v>191301154</v>
      </c>
      <c r="G90" s="128"/>
      <c r="H90" s="128">
        <f t="shared" si="59"/>
        <v>91559755</v>
      </c>
      <c r="I90" s="128">
        <f t="shared" si="59"/>
        <v>138427001</v>
      </c>
      <c r="J90" s="128">
        <f t="shared" si="59"/>
        <v>189739013</v>
      </c>
      <c r="K90" s="128"/>
      <c r="L90" s="983">
        <f t="shared" si="45"/>
        <v>0.46689386753967282</v>
      </c>
      <c r="M90" s="984">
        <f t="shared" si="46"/>
        <v>0.70588565761024757</v>
      </c>
      <c r="N90" s="983">
        <f t="shared" si="47"/>
        <v>0.96754279871904703</v>
      </c>
      <c r="O90" s="128"/>
      <c r="P90" s="128">
        <f>P13+P30+P33+P84</f>
        <v>0</v>
      </c>
      <c r="Q90" s="128">
        <f>Q13+Q30+Q33+Q84</f>
        <v>0</v>
      </c>
      <c r="R90" s="128">
        <f>R13+R30+R33+R84</f>
        <v>-4802846</v>
      </c>
      <c r="S90" s="128">
        <f>S13+S30+S33+S84</f>
        <v>-4802846</v>
      </c>
      <c r="T90" s="960">
        <f>T13+T30+T33+T84</f>
        <v>-0.31294725483170593</v>
      </c>
      <c r="U90" s="128"/>
      <c r="V90" s="973">
        <f t="shared" si="48"/>
        <v>0</v>
      </c>
      <c r="X90" s="23"/>
    </row>
    <row r="91" spans="1:24" ht="10.35" customHeight="1" x14ac:dyDescent="0.25">
      <c r="A91" s="591"/>
      <c r="B91" s="591"/>
      <c r="C91" s="592"/>
      <c r="D91" s="133"/>
      <c r="E91" s="133"/>
      <c r="F91" s="133"/>
      <c r="G91" s="133"/>
      <c r="H91" s="133"/>
      <c r="I91" s="133"/>
      <c r="J91" s="133"/>
      <c r="K91" s="133"/>
      <c r="L91" s="547"/>
      <c r="M91" s="547"/>
      <c r="N91" s="547"/>
      <c r="O91" s="133"/>
      <c r="P91" s="133"/>
      <c r="Q91" s="133"/>
      <c r="R91" s="133"/>
      <c r="S91" s="133"/>
      <c r="T91" s="133"/>
      <c r="U91" s="593"/>
      <c r="V91" s="690">
        <f t="shared" si="48"/>
        <v>0</v>
      </c>
      <c r="W91" s="46"/>
      <c r="X91" s="46"/>
    </row>
    <row r="92" spans="1:24" ht="10.35" customHeight="1" x14ac:dyDescent="0.25">
      <c r="A92" s="594"/>
      <c r="B92" s="594"/>
      <c r="C92" s="595"/>
      <c r="D92" s="596"/>
      <c r="E92" s="596"/>
      <c r="F92" s="596"/>
      <c r="G92" s="596"/>
      <c r="H92" s="596"/>
      <c r="I92" s="596"/>
      <c r="J92" s="596"/>
      <c r="K92" s="596"/>
      <c r="L92" s="548"/>
      <c r="M92" s="548"/>
      <c r="N92" s="548"/>
      <c r="O92" s="596"/>
      <c r="P92" s="596"/>
      <c r="Q92" s="596"/>
      <c r="R92" s="596"/>
      <c r="S92" s="596"/>
      <c r="T92" s="596"/>
      <c r="U92" s="597"/>
      <c r="V92" s="923">
        <f t="shared" si="48"/>
        <v>0</v>
      </c>
      <c r="W92" s="46"/>
      <c r="X92" s="46"/>
    </row>
    <row r="93" spans="1:24" s="26" customFormat="1" x14ac:dyDescent="0.25">
      <c r="A93" s="512" t="s">
        <v>242</v>
      </c>
      <c r="B93" s="513" t="s">
        <v>243</v>
      </c>
      <c r="C93" s="130">
        <f>SUM(C94:C94)</f>
        <v>0</v>
      </c>
      <c r="D93" s="130">
        <f>SUM(D94:D94)</f>
        <v>0</v>
      </c>
      <c r="E93" s="130">
        <f>SUM(E94:E94)</f>
        <v>0</v>
      </c>
      <c r="F93" s="130">
        <f>SUM(F94:F94)</f>
        <v>0</v>
      </c>
      <c r="G93" s="130"/>
      <c r="H93" s="130">
        <f>SUM(H94:H94)</f>
        <v>0</v>
      </c>
      <c r="I93" s="130">
        <f>SUM(I94:I94)</f>
        <v>0</v>
      </c>
      <c r="J93" s="130">
        <f>SUM(J94:J94)</f>
        <v>0</v>
      </c>
      <c r="K93" s="130"/>
      <c r="L93" s="990">
        <f t="shared" si="45"/>
        <v>0</v>
      </c>
      <c r="M93" s="984">
        <f t="shared" si="46"/>
        <v>0</v>
      </c>
      <c r="N93" s="990">
        <f t="shared" si="47"/>
        <v>0</v>
      </c>
      <c r="O93" s="130"/>
      <c r="P93" s="130">
        <f t="shared" ref="P93:P94" si="60">+(D93-C93)*P$10</f>
        <v>0</v>
      </c>
      <c r="Q93" s="130">
        <f t="shared" ref="Q93:Q94" si="61">+(E93-D93)*Q$10</f>
        <v>0</v>
      </c>
      <c r="R93" s="130">
        <f t="shared" ref="R93:R94" si="62">+(F93-E93)*R$10</f>
        <v>0</v>
      </c>
      <c r="S93" s="130">
        <f t="shared" ref="S93:S94" si="63">SUM(P93:R93)</f>
        <v>0</v>
      </c>
      <c r="T93" s="970">
        <f t="shared" ref="T93:T94" si="64">IF(C93=0,0,+S93/C93)</f>
        <v>0</v>
      </c>
      <c r="U93" s="130"/>
      <c r="V93" s="976">
        <f t="shared" si="48"/>
        <v>0</v>
      </c>
    </row>
    <row r="94" spans="1:24" x14ac:dyDescent="0.25">
      <c r="A94" s="527"/>
      <c r="B94" s="533"/>
      <c r="C94" s="132"/>
      <c r="D94" s="64"/>
      <c r="E94" s="64"/>
      <c r="F94" s="64"/>
      <c r="G94" s="64"/>
      <c r="H94" s="64"/>
      <c r="I94" s="64"/>
      <c r="J94" s="64"/>
      <c r="K94" s="64"/>
      <c r="L94" s="981">
        <f t="shared" si="45"/>
        <v>0</v>
      </c>
      <c r="M94" s="991">
        <f t="shared" si="46"/>
        <v>0</v>
      </c>
      <c r="N94" s="981">
        <f t="shared" si="47"/>
        <v>0</v>
      </c>
      <c r="O94" s="64"/>
      <c r="P94" s="503">
        <f t="shared" si="60"/>
        <v>0</v>
      </c>
      <c r="Q94" s="503">
        <f t="shared" si="61"/>
        <v>0</v>
      </c>
      <c r="R94" s="503">
        <f t="shared" si="62"/>
        <v>0</v>
      </c>
      <c r="S94" s="503">
        <f t="shared" si="63"/>
        <v>0</v>
      </c>
      <c r="T94" s="960">
        <f t="shared" si="64"/>
        <v>0</v>
      </c>
      <c r="U94" s="152"/>
      <c r="V94" s="690">
        <f t="shared" si="48"/>
        <v>0</v>
      </c>
    </row>
    <row r="95" spans="1:24" s="26" customFormat="1" x14ac:dyDescent="0.25">
      <c r="A95" s="512" t="s">
        <v>285</v>
      </c>
      <c r="B95" s="513" t="s">
        <v>286</v>
      </c>
      <c r="C95" s="130">
        <f>SUM(C96:C97)</f>
        <v>0</v>
      </c>
      <c r="D95" s="130">
        <f t="shared" ref="D95:E95" si="65">SUM(D96:D97)</f>
        <v>0</v>
      </c>
      <c r="E95" s="130">
        <f t="shared" si="65"/>
        <v>0</v>
      </c>
      <c r="F95" s="130">
        <f>SUM(F96:F98)</f>
        <v>28053</v>
      </c>
      <c r="G95" s="130"/>
      <c r="H95" s="130">
        <f>SUM(H96:H98)</f>
        <v>2868</v>
      </c>
      <c r="I95" s="130">
        <f>SUM(I96:I98)</f>
        <v>5683</v>
      </c>
      <c r="J95" s="130">
        <f>SUM(J96:J98)</f>
        <v>28053</v>
      </c>
      <c r="K95" s="130"/>
      <c r="L95" s="990">
        <f t="shared" si="45"/>
        <v>0</v>
      </c>
      <c r="M95" s="984">
        <f t="shared" si="46"/>
        <v>0</v>
      </c>
      <c r="N95" s="990">
        <f t="shared" si="47"/>
        <v>0</v>
      </c>
      <c r="O95" s="130"/>
      <c r="P95" s="130">
        <f t="shared" ref="P95" si="66">+(D95-C95)*P$10</f>
        <v>0</v>
      </c>
      <c r="Q95" s="130">
        <f t="shared" ref="Q95" si="67">+(E95-D95)*Q$10</f>
        <v>0</v>
      </c>
      <c r="R95" s="130">
        <f t="shared" ref="R95" si="68">+(F95-E95)*R$10</f>
        <v>28053</v>
      </c>
      <c r="S95" s="130">
        <f t="shared" ref="S95" si="69">SUM(P95:R95)</f>
        <v>28053</v>
      </c>
      <c r="T95" s="970">
        <f t="shared" ref="T95" si="70">IF(C95=0,0,+S95/C95)</f>
        <v>0</v>
      </c>
      <c r="U95" s="130"/>
      <c r="V95" s="976">
        <f t="shared" si="48"/>
        <v>0</v>
      </c>
      <c r="W95" s="34" t="s">
        <v>406</v>
      </c>
    </row>
    <row r="96" spans="1:24" x14ac:dyDescent="0.25">
      <c r="A96" s="527" t="s">
        <v>296</v>
      </c>
      <c r="B96" s="533" t="s">
        <v>297</v>
      </c>
      <c r="C96" s="132">
        <v>0</v>
      </c>
      <c r="D96" s="132">
        <v>0</v>
      </c>
      <c r="E96" s="132"/>
      <c r="F96" s="132"/>
      <c r="G96" s="132"/>
      <c r="H96" s="132">
        <v>0</v>
      </c>
      <c r="I96" s="132"/>
      <c r="J96" s="132"/>
      <c r="K96" s="132"/>
      <c r="L96" s="982">
        <f t="shared" si="45"/>
        <v>0</v>
      </c>
      <c r="M96" s="991">
        <f t="shared" si="46"/>
        <v>0</v>
      </c>
      <c r="N96" s="982">
        <f t="shared" si="47"/>
        <v>0</v>
      </c>
      <c r="O96" s="132"/>
      <c r="P96" s="503">
        <f t="shared" ref="P96:R99" si="71">+(D96-C96)*P$10</f>
        <v>0</v>
      </c>
      <c r="Q96" s="503">
        <f t="shared" ref="Q96:Q99" si="72">+(E96-D96)*Q$10</f>
        <v>0</v>
      </c>
      <c r="R96" s="503">
        <f t="shared" ref="R96:R99" si="73">+(F96-E96)*R$10</f>
        <v>0</v>
      </c>
      <c r="S96" s="503">
        <f t="shared" ref="S96:S99" si="74">SUM(P96:R96)</f>
        <v>0</v>
      </c>
      <c r="T96" s="960">
        <f t="shared" ref="T96:T102" si="75">IF(C96=0,0,+S96/C96)</f>
        <v>0</v>
      </c>
      <c r="U96" s="152"/>
      <c r="V96" s="690">
        <f t="shared" si="48"/>
        <v>0</v>
      </c>
    </row>
    <row r="97" spans="1:24" x14ac:dyDescent="0.25">
      <c r="A97" s="527" t="s">
        <v>299</v>
      </c>
      <c r="B97" s="533" t="s">
        <v>300</v>
      </c>
      <c r="C97" s="132">
        <v>0</v>
      </c>
      <c r="D97" s="132">
        <v>0</v>
      </c>
      <c r="E97" s="132"/>
      <c r="F97" s="132"/>
      <c r="G97" s="132"/>
      <c r="H97" s="132">
        <v>0</v>
      </c>
      <c r="I97" s="132"/>
      <c r="J97" s="132"/>
      <c r="K97" s="132"/>
      <c r="L97" s="982">
        <f t="shared" si="45"/>
        <v>0</v>
      </c>
      <c r="M97" s="992">
        <f t="shared" si="46"/>
        <v>0</v>
      </c>
      <c r="N97" s="982">
        <f t="shared" si="47"/>
        <v>0</v>
      </c>
      <c r="O97" s="132"/>
      <c r="P97" s="503">
        <f t="shared" si="71"/>
        <v>0</v>
      </c>
      <c r="Q97" s="503">
        <f t="shared" si="72"/>
        <v>0</v>
      </c>
      <c r="R97" s="503">
        <f t="shared" si="73"/>
        <v>0</v>
      </c>
      <c r="S97" s="503">
        <f t="shared" si="74"/>
        <v>0</v>
      </c>
      <c r="T97" s="960">
        <f t="shared" si="75"/>
        <v>0</v>
      </c>
      <c r="U97" s="152"/>
      <c r="V97" s="690">
        <f t="shared" si="48"/>
        <v>0</v>
      </c>
    </row>
    <row r="98" spans="1:24" ht="25.95" customHeight="1" x14ac:dyDescent="0.25">
      <c r="A98" s="530" t="s">
        <v>470</v>
      </c>
      <c r="B98" s="530" t="s">
        <v>469</v>
      </c>
      <c r="C98" s="132">
        <v>0</v>
      </c>
      <c r="D98" s="132">
        <v>0</v>
      </c>
      <c r="E98" s="520">
        <v>0</v>
      </c>
      <c r="F98" s="132">
        <v>28053</v>
      </c>
      <c r="G98" s="588"/>
      <c r="H98" s="125">
        <v>2868</v>
      </c>
      <c r="I98" s="125">
        <v>5683</v>
      </c>
      <c r="J98" s="125">
        <v>28053</v>
      </c>
      <c r="K98" s="588"/>
      <c r="L98" s="518">
        <f t="shared" si="45"/>
        <v>0</v>
      </c>
      <c r="M98" s="518">
        <f t="shared" si="46"/>
        <v>0</v>
      </c>
      <c r="N98" s="518">
        <f t="shared" si="47"/>
        <v>0</v>
      </c>
      <c r="O98" s="152"/>
      <c r="P98" s="503">
        <f t="shared" si="71"/>
        <v>0</v>
      </c>
      <c r="Q98" s="503">
        <f t="shared" si="71"/>
        <v>0</v>
      </c>
      <c r="R98" s="503">
        <f t="shared" si="71"/>
        <v>28053</v>
      </c>
      <c r="S98" s="503">
        <f t="shared" ref="S98" si="76">SUM(P98:R98)</f>
        <v>28053</v>
      </c>
      <c r="T98" s="151">
        <f t="shared" si="75"/>
        <v>0</v>
      </c>
      <c r="U98" s="152"/>
      <c r="V98" s="690">
        <f t="shared" si="48"/>
        <v>0</v>
      </c>
      <c r="W98" s="46"/>
      <c r="X98" s="46"/>
    </row>
    <row r="99" spans="1:24" s="26" customFormat="1" x14ac:dyDescent="0.25">
      <c r="A99" s="512" t="s">
        <v>335</v>
      </c>
      <c r="B99" s="513" t="s">
        <v>336</v>
      </c>
      <c r="C99" s="130">
        <f>SUM(C100:C101)</f>
        <v>196104000</v>
      </c>
      <c r="D99" s="130">
        <f t="shared" ref="D99:F99" si="77">SUM(D100:D101)</f>
        <v>196104000</v>
      </c>
      <c r="E99" s="130">
        <f t="shared" si="77"/>
        <v>196104000</v>
      </c>
      <c r="F99" s="130">
        <f t="shared" si="77"/>
        <v>191273101</v>
      </c>
      <c r="G99" s="130"/>
      <c r="H99" s="130">
        <f t="shared" ref="H99" si="78">SUM(H100:H101)</f>
        <v>94794530</v>
      </c>
      <c r="I99" s="130">
        <f t="shared" ref="I99" si="79">SUM(I100:I101)</f>
        <v>141174487</v>
      </c>
      <c r="J99" s="130">
        <f t="shared" ref="J99" si="80">SUM(J100:J101)</f>
        <v>191273101</v>
      </c>
      <c r="K99" s="130"/>
      <c r="L99" s="990">
        <f t="shared" si="45"/>
        <v>0.48338906906539386</v>
      </c>
      <c r="M99" s="984">
        <f t="shared" si="46"/>
        <v>0.71989600926039243</v>
      </c>
      <c r="N99" s="990">
        <f t="shared" si="47"/>
        <v>0.97536562742218413</v>
      </c>
      <c r="O99" s="130"/>
      <c r="P99" s="130">
        <f t="shared" si="71"/>
        <v>0</v>
      </c>
      <c r="Q99" s="130">
        <f t="shared" si="72"/>
        <v>0</v>
      </c>
      <c r="R99" s="130">
        <f t="shared" si="73"/>
        <v>-4830899</v>
      </c>
      <c r="S99" s="130">
        <f t="shared" si="74"/>
        <v>-4830899</v>
      </c>
      <c r="T99" s="970">
        <f t="shared" si="75"/>
        <v>-2.4634372577815852E-2</v>
      </c>
      <c r="U99" s="130"/>
      <c r="V99" s="976">
        <f t="shared" si="48"/>
        <v>0</v>
      </c>
    </row>
    <row r="100" spans="1:24" x14ac:dyDescent="0.25">
      <c r="A100" s="527" t="s">
        <v>361</v>
      </c>
      <c r="B100" s="533" t="s">
        <v>391</v>
      </c>
      <c r="C100" s="520">
        <f>+C104</f>
        <v>195602326</v>
      </c>
      <c r="D100" s="64">
        <v>195602326</v>
      </c>
      <c r="E100" s="64">
        <v>195602326</v>
      </c>
      <c r="F100" s="64">
        <v>190771427</v>
      </c>
      <c r="G100" s="64"/>
      <c r="H100" s="64">
        <v>94292856</v>
      </c>
      <c r="I100" s="64">
        <v>140672813</v>
      </c>
      <c r="J100" s="64">
        <v>190771427</v>
      </c>
      <c r="K100" s="64"/>
      <c r="L100" s="981">
        <f t="shared" si="45"/>
        <v>0.48206408343017354</v>
      </c>
      <c r="M100" s="991">
        <f t="shared" si="46"/>
        <v>0.71917760834807254</v>
      </c>
      <c r="N100" s="981">
        <f t="shared" si="47"/>
        <v>0.97530244604555472</v>
      </c>
      <c r="O100" s="64"/>
      <c r="P100" s="503">
        <f t="shared" ref="P100:P102" si="81">+(D100-C100)*P$10</f>
        <v>0</v>
      </c>
      <c r="Q100" s="503">
        <f t="shared" ref="Q100:Q102" si="82">+(E100-D100)*Q$10</f>
        <v>0</v>
      </c>
      <c r="R100" s="503">
        <f t="shared" ref="R100:R102" si="83">+(F100-E100)*R$10</f>
        <v>-4830899</v>
      </c>
      <c r="S100" s="503">
        <f t="shared" ref="S100:S102" si="84">SUM(P100:R100)</f>
        <v>-4830899</v>
      </c>
      <c r="T100" s="960">
        <f t="shared" si="75"/>
        <v>-2.4697553954445308E-2</v>
      </c>
      <c r="U100" s="152"/>
      <c r="V100" s="690">
        <f t="shared" si="48"/>
        <v>0</v>
      </c>
    </row>
    <row r="101" spans="1:24" x14ac:dyDescent="0.25">
      <c r="A101" s="527" t="s">
        <v>349</v>
      </c>
      <c r="B101" s="533" t="s">
        <v>350</v>
      </c>
      <c r="C101" s="170">
        <v>501674</v>
      </c>
      <c r="D101" s="170">
        <v>501674</v>
      </c>
      <c r="E101" s="170">
        <v>501674</v>
      </c>
      <c r="F101" s="64">
        <v>501674</v>
      </c>
      <c r="G101" s="64"/>
      <c r="H101" s="170">
        <v>501674</v>
      </c>
      <c r="I101" s="132">
        <v>501674</v>
      </c>
      <c r="J101" s="132">
        <v>501674</v>
      </c>
      <c r="K101" s="64"/>
      <c r="L101" s="982">
        <f t="shared" si="45"/>
        <v>1</v>
      </c>
      <c r="M101" s="992">
        <f t="shared" si="46"/>
        <v>1</v>
      </c>
      <c r="N101" s="982">
        <f t="shared" si="47"/>
        <v>1</v>
      </c>
      <c r="O101" s="64"/>
      <c r="P101" s="503">
        <f t="shared" si="81"/>
        <v>0</v>
      </c>
      <c r="Q101" s="503">
        <f t="shared" si="82"/>
        <v>0</v>
      </c>
      <c r="R101" s="503">
        <f t="shared" si="83"/>
        <v>0</v>
      </c>
      <c r="S101" s="503">
        <f t="shared" si="84"/>
        <v>0</v>
      </c>
      <c r="T101" s="960">
        <f t="shared" si="75"/>
        <v>0</v>
      </c>
      <c r="U101" s="152"/>
      <c r="V101" s="690">
        <f t="shared" si="48"/>
        <v>0</v>
      </c>
    </row>
    <row r="102" spans="1:24" x14ac:dyDescent="0.25">
      <c r="A102" s="149"/>
      <c r="B102" s="149" t="s">
        <v>379</v>
      </c>
      <c r="C102" s="128">
        <f>+C95+C99+C93</f>
        <v>196104000</v>
      </c>
      <c r="D102" s="128">
        <f>+D95+D99+D93</f>
        <v>196104000</v>
      </c>
      <c r="E102" s="128">
        <f>+E95+E99+E93</f>
        <v>196104000</v>
      </c>
      <c r="F102" s="128">
        <f>+F95+F99+F93</f>
        <v>191301154</v>
      </c>
      <c r="G102" s="128"/>
      <c r="H102" s="128">
        <f>+H95+H99+H93</f>
        <v>94797398</v>
      </c>
      <c r="I102" s="128">
        <f>+I95+I99+I93</f>
        <v>141180170</v>
      </c>
      <c r="J102" s="128">
        <f>+J95+J99+J93</f>
        <v>191301154</v>
      </c>
      <c r="K102" s="128"/>
      <c r="L102" s="983">
        <f t="shared" si="45"/>
        <v>0.48340369395830785</v>
      </c>
      <c r="M102" s="984">
        <f t="shared" si="46"/>
        <v>0.71992498878146294</v>
      </c>
      <c r="N102" s="983">
        <f t="shared" si="47"/>
        <v>0.97550867906824945</v>
      </c>
      <c r="O102" s="128"/>
      <c r="P102" s="128">
        <f t="shared" si="81"/>
        <v>0</v>
      </c>
      <c r="Q102" s="128">
        <f t="shared" si="82"/>
        <v>0</v>
      </c>
      <c r="R102" s="128">
        <f t="shared" si="83"/>
        <v>-4802846</v>
      </c>
      <c r="S102" s="128">
        <f t="shared" si="84"/>
        <v>-4802846</v>
      </c>
      <c r="T102" s="960">
        <f t="shared" si="75"/>
        <v>-2.44913209317505E-2</v>
      </c>
      <c r="U102" s="128"/>
      <c r="V102" s="973">
        <f>+S102-F102+C102</f>
        <v>0</v>
      </c>
    </row>
    <row r="103" spans="1:24" x14ac:dyDescent="0.25">
      <c r="A103" s="537"/>
      <c r="B103" s="591"/>
      <c r="C103" s="592"/>
      <c r="D103" s="133"/>
      <c r="E103" s="133"/>
      <c r="F103" s="133"/>
      <c r="G103" s="133"/>
      <c r="H103" s="133"/>
      <c r="I103" s="133"/>
      <c r="J103" s="133"/>
      <c r="K103" s="133"/>
      <c r="L103" s="549"/>
      <c r="M103" s="549"/>
      <c r="N103" s="549"/>
      <c r="O103" s="133"/>
      <c r="P103" s="133"/>
      <c r="Q103" s="133"/>
      <c r="R103" s="133"/>
      <c r="S103" s="133"/>
      <c r="T103" s="133"/>
      <c r="U103" s="133"/>
      <c r="V103" s="971"/>
    </row>
    <row r="104" spans="1:24" x14ac:dyDescent="0.25">
      <c r="B104" s="17"/>
      <c r="C104" s="42">
        <f>+C90-C101</f>
        <v>195602326</v>
      </c>
      <c r="D104" s="43"/>
      <c r="E104" s="43"/>
      <c r="F104" s="43"/>
      <c r="G104" s="43"/>
      <c r="H104" s="43"/>
      <c r="I104" s="43"/>
      <c r="J104" s="43"/>
      <c r="K104" s="43"/>
      <c r="L104" s="545"/>
      <c r="M104" s="545"/>
      <c r="N104" s="545"/>
      <c r="O104" s="43"/>
      <c r="P104" s="43"/>
      <c r="Q104" s="43"/>
      <c r="R104" s="43"/>
      <c r="S104" s="43"/>
      <c r="T104" s="43"/>
      <c r="U104" s="43"/>
      <c r="V104" s="977"/>
    </row>
    <row r="105" spans="1:24" x14ac:dyDescent="0.25">
      <c r="B105" s="17"/>
      <c r="C105" s="12"/>
      <c r="L105" s="545"/>
      <c r="M105" s="545"/>
      <c r="N105" s="545"/>
      <c r="V105" s="977"/>
    </row>
    <row r="106" spans="1:24" x14ac:dyDescent="0.25">
      <c r="B106" s="17"/>
      <c r="C106" s="12"/>
      <c r="D106" s="13"/>
      <c r="E106" s="13"/>
      <c r="F106" s="13"/>
      <c r="G106" s="13"/>
      <c r="K106" s="13"/>
      <c r="L106" s="545"/>
      <c r="M106" s="545"/>
      <c r="N106" s="545"/>
      <c r="O106" s="13"/>
      <c r="V106" s="977"/>
    </row>
    <row r="107" spans="1:24" x14ac:dyDescent="0.25">
      <c r="A107" s="34"/>
      <c r="B107" s="34" t="s">
        <v>481</v>
      </c>
      <c r="C107" s="56">
        <v>183736367</v>
      </c>
      <c r="D107" s="43">
        <f>+C107-C100-3900000</f>
        <v>-15765959</v>
      </c>
      <c r="L107" s="545"/>
      <c r="M107" s="545"/>
      <c r="N107" s="545"/>
      <c r="V107" s="977"/>
    </row>
    <row r="108" spans="1:24" x14ac:dyDescent="0.25">
      <c r="B108" s="168" t="s">
        <v>517</v>
      </c>
      <c r="C108" s="180">
        <v>186724484</v>
      </c>
      <c r="D108" s="43">
        <f>+C108-E100</f>
        <v>-8877842</v>
      </c>
      <c r="L108" s="545"/>
      <c r="M108" s="545"/>
      <c r="N108" s="545"/>
      <c r="V108" s="977"/>
    </row>
    <row r="109" spans="1:24" x14ac:dyDescent="0.25">
      <c r="B109" s="17"/>
      <c r="C109" s="12"/>
      <c r="L109" s="545"/>
      <c r="M109" s="545"/>
      <c r="N109" s="545"/>
      <c r="V109" s="545"/>
    </row>
    <row r="110" spans="1:24" x14ac:dyDescent="0.25">
      <c r="B110" s="17"/>
      <c r="C110" s="12">
        <f>+C104-C107</f>
        <v>11865959</v>
      </c>
      <c r="L110" s="545"/>
      <c r="M110" s="545"/>
      <c r="N110" s="545"/>
      <c r="V110" s="545"/>
    </row>
    <row r="111" spans="1:24" x14ac:dyDescent="0.25">
      <c r="B111" s="17"/>
      <c r="C111" s="12"/>
      <c r="L111" s="545"/>
      <c r="M111" s="545"/>
      <c r="N111" s="545"/>
      <c r="V111" s="545"/>
    </row>
    <row r="112" spans="1:24" x14ac:dyDescent="0.25">
      <c r="B112" s="17"/>
      <c r="C112" s="12"/>
      <c r="L112" s="545"/>
      <c r="M112" s="545"/>
      <c r="N112" s="545"/>
      <c r="V112" s="545"/>
    </row>
    <row r="113" spans="1:22" x14ac:dyDescent="0.25">
      <c r="B113" s="17"/>
      <c r="C113" s="12"/>
      <c r="L113" s="545"/>
      <c r="M113" s="545"/>
      <c r="N113" s="545"/>
      <c r="V113" s="545"/>
    </row>
    <row r="114" spans="1:22" x14ac:dyDescent="0.25">
      <c r="B114" s="17"/>
      <c r="C114" s="12"/>
      <c r="L114" s="545"/>
      <c r="M114" s="545"/>
      <c r="N114" s="545"/>
      <c r="V114" s="545"/>
    </row>
    <row r="115" spans="1:22" x14ac:dyDescent="0.25">
      <c r="B115" s="17"/>
      <c r="C115" s="12"/>
      <c r="L115" s="545"/>
      <c r="M115" s="545"/>
      <c r="N115" s="545"/>
      <c r="V115" s="545"/>
    </row>
    <row r="116" spans="1:22" x14ac:dyDescent="0.25">
      <c r="B116" s="17"/>
      <c r="C116" s="12"/>
      <c r="L116" s="545"/>
      <c r="M116" s="545"/>
      <c r="N116" s="545"/>
      <c r="V116" s="545"/>
    </row>
    <row r="117" spans="1:22" x14ac:dyDescent="0.25">
      <c r="C117" s="12"/>
      <c r="L117" s="545"/>
      <c r="M117" s="545"/>
      <c r="N117" s="545"/>
      <c r="V117" s="545"/>
    </row>
    <row r="118" spans="1:22" x14ac:dyDescent="0.25">
      <c r="A118" s="21"/>
      <c r="B118" s="18"/>
      <c r="C118" s="12"/>
      <c r="L118" s="545"/>
      <c r="M118" s="545"/>
      <c r="N118" s="545"/>
      <c r="V118" s="545"/>
    </row>
    <row r="119" spans="1:22" x14ac:dyDescent="0.25">
      <c r="B119" s="17"/>
      <c r="C119" s="12"/>
      <c r="L119" s="545"/>
      <c r="M119" s="545"/>
      <c r="N119" s="545"/>
      <c r="V119" s="545"/>
    </row>
    <row r="120" spans="1:22" x14ac:dyDescent="0.25">
      <c r="B120" s="17"/>
      <c r="C120" s="12"/>
      <c r="L120" s="545"/>
      <c r="M120" s="545"/>
      <c r="N120" s="545"/>
      <c r="V120" s="545"/>
    </row>
    <row r="121" spans="1:22" x14ac:dyDescent="0.25">
      <c r="B121" s="17"/>
      <c r="C121" s="12"/>
      <c r="L121" s="545"/>
      <c r="M121" s="545"/>
      <c r="N121" s="545"/>
      <c r="V121" s="545"/>
    </row>
    <row r="122" spans="1:22" x14ac:dyDescent="0.25">
      <c r="B122" s="17"/>
      <c r="C122" s="12"/>
      <c r="L122" s="545"/>
      <c r="M122" s="545"/>
      <c r="N122" s="545"/>
      <c r="V122" s="545"/>
    </row>
    <row r="123" spans="1:22" x14ac:dyDescent="0.25">
      <c r="B123" s="17"/>
      <c r="C123" s="12"/>
      <c r="L123" s="545"/>
      <c r="M123" s="545"/>
      <c r="N123" s="545"/>
      <c r="V123" s="545"/>
    </row>
    <row r="124" spans="1:22" x14ac:dyDescent="0.25">
      <c r="B124" s="17"/>
      <c r="C124" s="12"/>
      <c r="L124" s="545"/>
      <c r="M124" s="545"/>
      <c r="N124" s="545"/>
      <c r="V124" s="545"/>
    </row>
    <row r="125" spans="1:22" x14ac:dyDescent="0.25">
      <c r="B125" s="17"/>
      <c r="C125" s="12"/>
      <c r="L125" s="545"/>
      <c r="M125" s="545"/>
      <c r="N125" s="545"/>
      <c r="V125" s="545"/>
    </row>
    <row r="126" spans="1:22" x14ac:dyDescent="0.25">
      <c r="B126" s="17"/>
      <c r="C126" s="12"/>
      <c r="L126" s="545"/>
      <c r="M126" s="545"/>
      <c r="N126" s="545"/>
      <c r="V126" s="545"/>
    </row>
    <row r="127" spans="1:22" x14ac:dyDescent="0.25">
      <c r="B127" s="17"/>
      <c r="C127" s="12"/>
      <c r="L127" s="545"/>
      <c r="M127" s="545"/>
      <c r="N127" s="545"/>
      <c r="V127" s="545"/>
    </row>
    <row r="128" spans="1:22" x14ac:dyDescent="0.25">
      <c r="C128" s="12"/>
      <c r="L128" s="545"/>
      <c r="M128" s="545"/>
      <c r="N128" s="545"/>
      <c r="V128" s="545"/>
    </row>
    <row r="129" spans="1:22" x14ac:dyDescent="0.25">
      <c r="A129" s="21"/>
      <c r="B129" s="18"/>
      <c r="C129" s="12"/>
      <c r="L129" s="545"/>
      <c r="M129" s="545"/>
      <c r="N129" s="545"/>
      <c r="V129" s="545"/>
    </row>
    <row r="130" spans="1:22" x14ac:dyDescent="0.25">
      <c r="B130" s="17"/>
      <c r="C130" s="12"/>
      <c r="L130" s="545"/>
      <c r="M130" s="545"/>
      <c r="N130" s="545"/>
      <c r="V130" s="545"/>
    </row>
    <row r="131" spans="1:22" x14ac:dyDescent="0.25">
      <c r="B131" s="17"/>
      <c r="C131" s="12"/>
      <c r="L131" s="545"/>
      <c r="M131" s="545"/>
      <c r="N131" s="545"/>
      <c r="V131" s="545"/>
    </row>
    <row r="132" spans="1:22" x14ac:dyDescent="0.25">
      <c r="B132" s="17"/>
      <c r="C132" s="12"/>
      <c r="L132" s="545"/>
      <c r="M132" s="545"/>
      <c r="N132" s="545"/>
      <c r="V132" s="545"/>
    </row>
    <row r="133" spans="1:22" x14ac:dyDescent="0.25">
      <c r="B133" s="17"/>
      <c r="C133" s="12"/>
      <c r="L133" s="545"/>
      <c r="M133" s="545"/>
      <c r="N133" s="545"/>
      <c r="V133" s="545"/>
    </row>
    <row r="134" spans="1:22" x14ac:dyDescent="0.25">
      <c r="B134" s="17"/>
      <c r="C134" s="12"/>
      <c r="L134" s="545"/>
      <c r="M134" s="545"/>
      <c r="N134" s="545"/>
      <c r="V134" s="545"/>
    </row>
    <row r="135" spans="1:22" x14ac:dyDescent="0.25">
      <c r="B135" s="17"/>
      <c r="C135" s="12"/>
      <c r="L135" s="545"/>
      <c r="M135" s="545"/>
      <c r="N135" s="545"/>
      <c r="V135" s="545"/>
    </row>
    <row r="136" spans="1:22" x14ac:dyDescent="0.25">
      <c r="B136" s="17"/>
      <c r="C136" s="12"/>
      <c r="L136" s="545"/>
      <c r="M136" s="545"/>
      <c r="N136" s="545"/>
      <c r="V136" s="545"/>
    </row>
    <row r="137" spans="1:22" x14ac:dyDescent="0.25">
      <c r="C137" s="12"/>
      <c r="L137" s="545"/>
      <c r="M137" s="545"/>
      <c r="N137" s="545"/>
      <c r="V137" s="545"/>
    </row>
    <row r="138" spans="1:22" x14ac:dyDescent="0.25">
      <c r="A138" s="21"/>
      <c r="B138" s="18"/>
      <c r="C138" s="12"/>
      <c r="L138" s="545"/>
      <c r="M138" s="545"/>
      <c r="N138" s="545"/>
      <c r="V138" s="545"/>
    </row>
    <row r="139" spans="1:22" x14ac:dyDescent="0.25">
      <c r="B139" s="17"/>
      <c r="C139" s="12"/>
      <c r="L139" s="545"/>
      <c r="M139" s="545"/>
      <c r="N139" s="545"/>
      <c r="V139" s="545"/>
    </row>
    <row r="140" spans="1:22" x14ac:dyDescent="0.25">
      <c r="B140" s="17"/>
      <c r="C140" s="12"/>
      <c r="L140" s="545"/>
      <c r="M140" s="545"/>
      <c r="N140" s="545"/>
      <c r="V140" s="545"/>
    </row>
    <row r="141" spans="1:22" x14ac:dyDescent="0.25">
      <c r="B141" s="17"/>
      <c r="C141" s="12"/>
      <c r="L141" s="545"/>
      <c r="M141" s="545"/>
      <c r="N141" s="545"/>
      <c r="V141" s="545"/>
    </row>
    <row r="142" spans="1:22" x14ac:dyDescent="0.25">
      <c r="B142" s="17"/>
      <c r="C142" s="12"/>
      <c r="L142" s="545"/>
      <c r="M142" s="545"/>
      <c r="N142" s="545"/>
      <c r="V142" s="545"/>
    </row>
    <row r="143" spans="1:22" x14ac:dyDescent="0.25">
      <c r="C143" s="12"/>
      <c r="L143" s="545"/>
      <c r="M143" s="545"/>
      <c r="N143" s="545"/>
      <c r="V143" s="545"/>
    </row>
    <row r="144" spans="1:22" x14ac:dyDescent="0.25">
      <c r="A144" s="21"/>
      <c r="B144" s="18"/>
      <c r="C144" s="12"/>
      <c r="L144" s="545"/>
      <c r="M144" s="545"/>
      <c r="N144" s="545"/>
      <c r="V144" s="545"/>
    </row>
    <row r="145" spans="1:22" x14ac:dyDescent="0.25">
      <c r="B145" s="17"/>
      <c r="C145" s="12"/>
      <c r="L145" s="545"/>
      <c r="M145" s="545"/>
      <c r="N145" s="545"/>
      <c r="V145" s="545"/>
    </row>
    <row r="146" spans="1:22" x14ac:dyDescent="0.25">
      <c r="B146" s="17"/>
      <c r="C146" s="12"/>
      <c r="L146" s="545"/>
      <c r="M146" s="545"/>
      <c r="N146" s="545"/>
      <c r="V146" s="545"/>
    </row>
    <row r="147" spans="1:22" x14ac:dyDescent="0.25">
      <c r="B147" s="17"/>
      <c r="C147" s="12"/>
      <c r="L147" s="545"/>
      <c r="M147" s="545"/>
      <c r="N147" s="545"/>
      <c r="V147" s="545"/>
    </row>
    <row r="148" spans="1:22" x14ac:dyDescent="0.25">
      <c r="B148" s="17"/>
      <c r="C148" s="12"/>
      <c r="L148" s="545"/>
      <c r="M148" s="545"/>
      <c r="N148" s="545"/>
      <c r="V148" s="545"/>
    </row>
    <row r="149" spans="1:22" x14ac:dyDescent="0.25">
      <c r="B149" s="17"/>
      <c r="C149" s="12"/>
      <c r="L149" s="545"/>
      <c r="M149" s="545"/>
      <c r="N149" s="545"/>
      <c r="V149" s="545"/>
    </row>
    <row r="150" spans="1:22" x14ac:dyDescent="0.25">
      <c r="B150" s="17"/>
      <c r="C150" s="12"/>
      <c r="L150" s="545"/>
      <c r="M150" s="545"/>
      <c r="N150" s="545"/>
      <c r="V150" s="545"/>
    </row>
    <row r="151" spans="1:22" x14ac:dyDescent="0.25">
      <c r="B151" s="17"/>
      <c r="C151" s="12"/>
      <c r="L151" s="545"/>
      <c r="M151" s="545"/>
      <c r="N151" s="545"/>
      <c r="V151" s="545"/>
    </row>
    <row r="152" spans="1:22" x14ac:dyDescent="0.25">
      <c r="B152" s="17"/>
      <c r="C152" s="12"/>
      <c r="L152" s="545"/>
      <c r="M152" s="545"/>
      <c r="N152" s="545"/>
      <c r="V152" s="545"/>
    </row>
    <row r="153" spans="1:22" x14ac:dyDescent="0.25">
      <c r="C153" s="12"/>
      <c r="L153" s="545"/>
      <c r="M153" s="545"/>
      <c r="N153" s="545"/>
      <c r="V153" s="545"/>
    </row>
    <row r="154" spans="1:22" x14ac:dyDescent="0.25">
      <c r="A154" s="21"/>
      <c r="B154" s="18"/>
      <c r="C154" s="12"/>
      <c r="L154" s="545"/>
      <c r="M154" s="545"/>
      <c r="N154" s="545"/>
      <c r="V154" s="545"/>
    </row>
    <row r="155" spans="1:22" x14ac:dyDescent="0.25">
      <c r="B155" s="17"/>
      <c r="C155" s="12"/>
      <c r="L155" s="545"/>
      <c r="M155" s="545"/>
      <c r="N155" s="545"/>
      <c r="V155" s="545"/>
    </row>
    <row r="156" spans="1:22" x14ac:dyDescent="0.25">
      <c r="B156" s="17"/>
      <c r="C156" s="12"/>
      <c r="L156" s="545"/>
      <c r="M156" s="545"/>
      <c r="N156" s="545"/>
      <c r="V156" s="545"/>
    </row>
    <row r="157" spans="1:22" x14ac:dyDescent="0.25">
      <c r="B157" s="17"/>
      <c r="C157" s="12"/>
      <c r="L157" s="545"/>
      <c r="M157" s="545"/>
      <c r="N157" s="545"/>
      <c r="V157" s="545"/>
    </row>
    <row r="158" spans="1:22" x14ac:dyDescent="0.25">
      <c r="B158" s="17"/>
      <c r="C158" s="12"/>
      <c r="L158" s="545"/>
      <c r="M158" s="545"/>
      <c r="N158" s="545"/>
      <c r="V158" s="545"/>
    </row>
    <row r="159" spans="1:22" x14ac:dyDescent="0.25">
      <c r="B159" s="17"/>
      <c r="C159" s="12"/>
      <c r="L159" s="545"/>
      <c r="M159" s="545"/>
      <c r="N159" s="545"/>
      <c r="V159" s="545"/>
    </row>
    <row r="160" spans="1:22" x14ac:dyDescent="0.25">
      <c r="B160" s="17"/>
      <c r="C160" s="12"/>
      <c r="L160" s="545"/>
      <c r="M160" s="545"/>
      <c r="N160" s="545"/>
      <c r="V160" s="545"/>
    </row>
    <row r="161" spans="2:22" x14ac:dyDescent="0.25">
      <c r="B161" s="17"/>
      <c r="C161" s="12"/>
      <c r="L161" s="545"/>
      <c r="M161" s="545"/>
      <c r="N161" s="545"/>
      <c r="V161" s="545"/>
    </row>
    <row r="162" spans="2:22" x14ac:dyDescent="0.25">
      <c r="B162" s="17"/>
      <c r="C162" s="12"/>
      <c r="L162" s="545"/>
      <c r="M162" s="545"/>
      <c r="N162" s="545"/>
      <c r="V162" s="545"/>
    </row>
    <row r="163" spans="2:22" x14ac:dyDescent="0.25">
      <c r="B163" s="17"/>
      <c r="C163" s="12"/>
      <c r="L163" s="545"/>
      <c r="M163" s="545"/>
      <c r="N163" s="545"/>
      <c r="V163" s="545"/>
    </row>
    <row r="164" spans="2:22" x14ac:dyDescent="0.25">
      <c r="B164" s="17"/>
      <c r="C164" s="12"/>
      <c r="L164" s="545"/>
      <c r="M164" s="545"/>
      <c r="N164" s="545"/>
      <c r="V164" s="545"/>
    </row>
    <row r="165" spans="2:22" x14ac:dyDescent="0.25">
      <c r="B165" s="17"/>
      <c r="C165" s="12"/>
      <c r="L165" s="545"/>
      <c r="M165" s="545"/>
      <c r="N165" s="545"/>
      <c r="V165" s="545"/>
    </row>
    <row r="166" spans="2:22" x14ac:dyDescent="0.25">
      <c r="B166" s="17"/>
      <c r="C166" s="12"/>
      <c r="L166" s="545"/>
      <c r="M166" s="545"/>
      <c r="N166" s="545"/>
      <c r="V166" s="545"/>
    </row>
    <row r="167" spans="2:22" x14ac:dyDescent="0.25">
      <c r="B167" s="17"/>
      <c r="C167" s="12"/>
      <c r="L167" s="545"/>
      <c r="M167" s="545"/>
      <c r="N167" s="545"/>
      <c r="V167" s="545"/>
    </row>
    <row r="168" spans="2:22" x14ac:dyDescent="0.25">
      <c r="B168" s="17"/>
      <c r="C168" s="12"/>
      <c r="L168" s="545"/>
      <c r="M168" s="545"/>
      <c r="N168" s="545"/>
      <c r="V168" s="545"/>
    </row>
    <row r="169" spans="2:22" x14ac:dyDescent="0.25">
      <c r="B169" s="17"/>
      <c r="C169" s="12"/>
      <c r="L169" s="545"/>
      <c r="M169" s="545"/>
      <c r="N169" s="545"/>
      <c r="V169" s="545"/>
    </row>
    <row r="170" spans="2:22" x14ac:dyDescent="0.25">
      <c r="B170" s="17"/>
      <c r="C170" s="12"/>
      <c r="L170" s="545"/>
      <c r="M170" s="545"/>
      <c r="N170" s="545"/>
      <c r="V170" s="545"/>
    </row>
    <row r="171" spans="2:22" x14ac:dyDescent="0.25">
      <c r="B171" s="17"/>
      <c r="C171" s="12"/>
      <c r="L171" s="545"/>
      <c r="M171" s="545"/>
      <c r="N171" s="545"/>
      <c r="V171" s="545"/>
    </row>
    <row r="172" spans="2:22" x14ac:dyDescent="0.25">
      <c r="B172" s="17"/>
      <c r="C172" s="12"/>
      <c r="L172" s="545"/>
      <c r="M172" s="545"/>
      <c r="N172" s="545"/>
      <c r="V172" s="545"/>
    </row>
    <row r="173" spans="2:22" x14ac:dyDescent="0.25">
      <c r="B173" s="17"/>
      <c r="C173" s="12"/>
      <c r="L173" s="545"/>
      <c r="M173" s="545"/>
      <c r="N173" s="545"/>
      <c r="V173" s="545"/>
    </row>
    <row r="174" spans="2:22" x14ac:dyDescent="0.25">
      <c r="B174" s="17"/>
      <c r="C174" s="12"/>
      <c r="L174" s="545"/>
      <c r="M174" s="545"/>
      <c r="N174" s="545"/>
      <c r="V174" s="545"/>
    </row>
    <row r="175" spans="2:22" x14ac:dyDescent="0.25">
      <c r="B175" s="17"/>
      <c r="C175" s="12"/>
      <c r="L175" s="545"/>
      <c r="M175" s="545"/>
      <c r="N175" s="545"/>
      <c r="V175" s="545"/>
    </row>
    <row r="176" spans="2:22" x14ac:dyDescent="0.25">
      <c r="C176" s="12"/>
      <c r="L176" s="545"/>
      <c r="M176" s="545"/>
      <c r="N176" s="545"/>
      <c r="V176" s="545"/>
    </row>
    <row r="177" spans="12:22" x14ac:dyDescent="0.25">
      <c r="L177" s="545"/>
      <c r="M177" s="545"/>
      <c r="N177" s="545"/>
      <c r="V177" s="545"/>
    </row>
    <row r="178" spans="12:22" x14ac:dyDescent="0.25">
      <c r="L178" s="545"/>
      <c r="M178" s="545"/>
      <c r="N178" s="545"/>
      <c r="V178" s="545"/>
    </row>
    <row r="179" spans="12:22" x14ac:dyDescent="0.25">
      <c r="L179" s="545"/>
      <c r="M179" s="545"/>
      <c r="N179" s="545"/>
      <c r="V179" s="545"/>
    </row>
    <row r="180" spans="12:22" x14ac:dyDescent="0.25">
      <c r="L180" s="545"/>
      <c r="M180" s="545"/>
      <c r="N180" s="545"/>
      <c r="V180" s="545"/>
    </row>
    <row r="181" spans="12:22" x14ac:dyDescent="0.25">
      <c r="L181" s="545"/>
      <c r="M181" s="545"/>
      <c r="N181" s="545"/>
      <c r="V181" s="545"/>
    </row>
    <row r="182" spans="12:22" x14ac:dyDescent="0.25">
      <c r="L182" s="545"/>
      <c r="M182" s="545"/>
      <c r="N182" s="545"/>
      <c r="V182" s="545"/>
    </row>
    <row r="183" spans="12:22" x14ac:dyDescent="0.25">
      <c r="L183" s="545"/>
      <c r="M183" s="545"/>
      <c r="N183" s="545"/>
      <c r="V183" s="545"/>
    </row>
    <row r="184" spans="12:22" x14ac:dyDescent="0.25">
      <c r="L184" s="545"/>
      <c r="M184" s="545"/>
      <c r="N184" s="545"/>
      <c r="V184" s="545"/>
    </row>
    <row r="185" spans="12:22" x14ac:dyDescent="0.25">
      <c r="L185" s="545"/>
      <c r="M185" s="545"/>
      <c r="N185" s="545"/>
      <c r="V185" s="545"/>
    </row>
    <row r="186" spans="12:22" x14ac:dyDescent="0.25">
      <c r="L186" s="545"/>
      <c r="M186" s="545"/>
      <c r="N186" s="545"/>
      <c r="V186" s="545"/>
    </row>
    <row r="187" spans="12:22" x14ac:dyDescent="0.25">
      <c r="L187" s="545"/>
      <c r="M187" s="545"/>
      <c r="N187" s="545"/>
      <c r="V187" s="545"/>
    </row>
    <row r="188" spans="12:22" x14ac:dyDescent="0.25">
      <c r="L188" s="545"/>
      <c r="M188" s="545"/>
      <c r="N188" s="545"/>
      <c r="V188" s="545"/>
    </row>
    <row r="189" spans="12:22" x14ac:dyDescent="0.25">
      <c r="L189" s="545"/>
      <c r="M189" s="545"/>
      <c r="N189" s="545"/>
      <c r="V189" s="545"/>
    </row>
    <row r="190" spans="12:22" x14ac:dyDescent="0.25">
      <c r="L190" s="545"/>
      <c r="M190" s="545"/>
      <c r="N190" s="545"/>
      <c r="V190" s="545"/>
    </row>
    <row r="191" spans="12:22" x14ac:dyDescent="0.25">
      <c r="L191" s="545"/>
      <c r="M191" s="545"/>
      <c r="N191" s="545"/>
      <c r="V191" s="545"/>
    </row>
    <row r="192" spans="12:22" x14ac:dyDescent="0.25">
      <c r="L192" s="545"/>
      <c r="M192" s="545"/>
      <c r="N192" s="545"/>
      <c r="V192" s="545"/>
    </row>
    <row r="193" spans="12:22" x14ac:dyDescent="0.25">
      <c r="L193" s="545"/>
      <c r="M193" s="545"/>
      <c r="N193" s="545"/>
      <c r="V193" s="545"/>
    </row>
    <row r="194" spans="12:22" x14ac:dyDescent="0.25">
      <c r="L194" s="545"/>
      <c r="M194" s="545"/>
      <c r="N194" s="545"/>
      <c r="V194" s="545"/>
    </row>
    <row r="195" spans="12:22" x14ac:dyDescent="0.25">
      <c r="L195" s="545"/>
      <c r="M195" s="545"/>
      <c r="N195" s="545"/>
      <c r="V195" s="545"/>
    </row>
    <row r="196" spans="12:22" x14ac:dyDescent="0.25">
      <c r="L196" s="545"/>
      <c r="M196" s="545"/>
      <c r="N196" s="545"/>
      <c r="V196" s="545"/>
    </row>
    <row r="197" spans="12:22" x14ac:dyDescent="0.25">
      <c r="L197" s="545"/>
      <c r="M197" s="545"/>
      <c r="N197" s="545"/>
      <c r="V197" s="545"/>
    </row>
    <row r="198" spans="12:22" x14ac:dyDescent="0.25">
      <c r="L198" s="545"/>
      <c r="M198" s="545"/>
      <c r="N198" s="545"/>
      <c r="V198" s="545"/>
    </row>
    <row r="199" spans="12:22" x14ac:dyDescent="0.25">
      <c r="L199" s="545"/>
      <c r="M199" s="545"/>
      <c r="N199" s="545"/>
      <c r="V199" s="545"/>
    </row>
    <row r="200" spans="12:22" x14ac:dyDescent="0.25">
      <c r="L200" s="545"/>
      <c r="M200" s="545"/>
      <c r="N200" s="545"/>
      <c r="V200" s="545"/>
    </row>
    <row r="201" spans="12:22" x14ac:dyDescent="0.25">
      <c r="L201" s="545"/>
      <c r="M201" s="545"/>
      <c r="N201" s="545"/>
      <c r="V201" s="545"/>
    </row>
    <row r="202" spans="12:22" x14ac:dyDescent="0.25">
      <c r="V202" s="545"/>
    </row>
    <row r="203" spans="12:22" x14ac:dyDescent="0.25">
      <c r="V203" s="545"/>
    </row>
    <row r="204" spans="12:22" x14ac:dyDescent="0.25">
      <c r="V204" s="545"/>
    </row>
    <row r="205" spans="12:22" x14ac:dyDescent="0.25">
      <c r="V205" s="545"/>
    </row>
    <row r="206" spans="12:22" x14ac:dyDescent="0.25">
      <c r="V206" s="545"/>
    </row>
    <row r="207" spans="12:22" x14ac:dyDescent="0.25">
      <c r="V207" s="545"/>
    </row>
    <row r="208" spans="12:22" x14ac:dyDescent="0.25">
      <c r="V208" s="545"/>
    </row>
    <row r="209" spans="22:22" x14ac:dyDescent="0.25">
      <c r="V209" s="545"/>
    </row>
  </sheetData>
  <mergeCells count="5">
    <mergeCell ref="C9:F9"/>
    <mergeCell ref="H9:N9"/>
    <mergeCell ref="P9:T9"/>
    <mergeCell ref="H10:J10"/>
    <mergeCell ref="L10:N10"/>
  </mergeCells>
  <phoneticPr fontId="2" type="noConversion"/>
  <printOptions horizontalCentered="1"/>
  <pageMargins left="0" right="0" top="0.59055118110236227" bottom="0" header="0.51181102362204722" footer="0.51181102362204722"/>
  <pageSetup paperSize="9" scale="50" fitToHeight="0" orientation="landscape" r:id="rId1"/>
  <headerFooter alignWithMargins="0">
    <oddHeader>&amp;R&amp;"Arial,Félkövér dőlt"&amp;12&amp;A  /&amp;"Arial,Normál"&amp;10
&amp;"Arial,Dőlt"&amp;F</oddHeader>
  </headerFooter>
  <colBreaks count="1" manualBreakCount="1">
    <brk id="2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8"/>
  <sheetViews>
    <sheetView view="pageBreakPreview" topLeftCell="C1" zoomScale="75" zoomScaleNormal="65" zoomScaleSheetLayoutView="75" workbookViewId="0">
      <selection activeCell="V3" sqref="V3:V4"/>
    </sheetView>
  </sheetViews>
  <sheetFormatPr defaultRowHeight="12.75" customHeight="1" x14ac:dyDescent="0.25"/>
  <cols>
    <col min="1" max="1" width="7.44140625" style="9" customWidth="1"/>
    <col min="2" max="2" width="55.44140625" style="9" customWidth="1"/>
    <col min="3" max="6" width="15.5546875" style="9" customWidth="1"/>
    <col min="7" max="7" width="0.6640625" style="9" customWidth="1"/>
    <col min="8" max="10" width="15.5546875" style="9" customWidth="1"/>
    <col min="11" max="11" width="0.6640625" style="9" customWidth="1"/>
    <col min="12" max="14" width="10.5546875" style="9" customWidth="1"/>
    <col min="15" max="15" width="0.6640625" style="9" customWidth="1"/>
    <col min="16" max="18" width="14.5546875" style="9" customWidth="1"/>
    <col min="19" max="19" width="15.5546875" style="9" customWidth="1"/>
    <col min="21" max="21" width="1.5546875" customWidth="1"/>
    <col min="22" max="22" width="4.5546875" customWidth="1"/>
  </cols>
  <sheetData>
    <row r="1" spans="1:26" ht="24.6" x14ac:dyDescent="0.4">
      <c r="A1" s="83" t="s">
        <v>429</v>
      </c>
      <c r="B1" s="82"/>
      <c r="C1" s="82"/>
      <c r="D1" s="82"/>
      <c r="E1" s="82"/>
      <c r="F1" s="82"/>
      <c r="G1" s="81"/>
      <c r="H1" s="80"/>
      <c r="I1" s="80"/>
      <c r="J1" s="79" t="str">
        <f>+'1. Sülysáp összesen'!J1</f>
        <v>2018. ÉV KÖLTSÉGVETÉS</v>
      </c>
      <c r="K1" s="84"/>
      <c r="L1" s="84"/>
      <c r="M1" s="80"/>
      <c r="N1" s="80"/>
      <c r="O1" s="80"/>
      <c r="P1" s="80"/>
      <c r="Q1" s="80"/>
      <c r="R1" s="80"/>
      <c r="S1" s="80"/>
      <c r="T1" s="80"/>
      <c r="U1" s="80"/>
      <c r="V1" s="80"/>
      <c r="W1" s="28"/>
      <c r="X1" s="28"/>
      <c r="Y1" s="28"/>
    </row>
    <row r="2" spans="1:26" ht="13.2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  <c r="W2" s="46"/>
      <c r="X2" s="46"/>
    </row>
    <row r="3" spans="1:26" ht="13.2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687"/>
      <c r="W3" s="46"/>
      <c r="X3" s="46"/>
    </row>
    <row r="4" spans="1:26" ht="13.2" x14ac:dyDescent="0.25">
      <c r="A4" s="104"/>
      <c r="B4" s="103"/>
      <c r="C4" s="39"/>
      <c r="D4" s="39"/>
      <c r="E4" s="39"/>
      <c r="F4" s="39"/>
      <c r="G4" s="39"/>
      <c r="H4" s="39"/>
      <c r="I4" s="39"/>
      <c r="J4" s="39"/>
      <c r="K4" s="39"/>
      <c r="L4" s="103"/>
      <c r="M4" s="103"/>
      <c r="N4" s="103"/>
      <c r="O4" s="103"/>
      <c r="P4" s="39"/>
      <c r="Q4" s="39"/>
      <c r="R4" s="39"/>
      <c r="S4" s="39"/>
      <c r="T4" s="39"/>
      <c r="U4" s="103"/>
      <c r="V4" s="692" t="str">
        <f>+'1. Sülysáp összesen'!V5</f>
        <v>F-oszlop</v>
      </c>
      <c r="W4" s="46"/>
      <c r="X4" s="46"/>
    </row>
    <row r="5" spans="1:26" ht="20.100000000000001" customHeight="1" x14ac:dyDescent="0.3">
      <c r="A5" s="98"/>
      <c r="B5" s="98" t="s">
        <v>380</v>
      </c>
      <c r="C5" s="99">
        <f>+C89</f>
        <v>56999000</v>
      </c>
      <c r="D5" s="99">
        <f t="shared" ref="D5:E5" si="0">+D89</f>
        <v>56999000</v>
      </c>
      <c r="E5" s="99">
        <f t="shared" si="0"/>
        <v>56999000</v>
      </c>
      <c r="F5" s="99">
        <f>+F89</f>
        <v>56999000</v>
      </c>
      <c r="G5" s="99"/>
      <c r="H5" s="993">
        <f>+H89</f>
        <v>26017758</v>
      </c>
      <c r="I5" s="993">
        <f t="shared" ref="I5:J5" si="1">+I89</f>
        <v>40359604</v>
      </c>
      <c r="J5" s="993">
        <f t="shared" si="1"/>
        <v>56687965</v>
      </c>
      <c r="K5" s="994"/>
      <c r="L5" s="933">
        <f t="shared" ref="L5:L7" si="2">IF(C5=0,0,H5/C5)</f>
        <v>0.4564599028053124</v>
      </c>
      <c r="M5" s="933">
        <f t="shared" ref="M5:M7" si="3">IF(D5=0,0,I5/D5)</f>
        <v>0.70807565045000787</v>
      </c>
      <c r="N5" s="933">
        <f>IF(E5=0,0,J5/E5)</f>
        <v>0.99454314987982251</v>
      </c>
      <c r="O5" s="22"/>
      <c r="P5" s="99">
        <f>+P89</f>
        <v>0</v>
      </c>
      <c r="Q5" s="99">
        <f>+Q89</f>
        <v>0</v>
      </c>
      <c r="R5" s="99">
        <f>+R89</f>
        <v>0</v>
      </c>
      <c r="S5" s="99">
        <f>+S89</f>
        <v>0</v>
      </c>
      <c r="T5" s="53">
        <f>IF(C5=0,0,+S5/C5)</f>
        <v>0</v>
      </c>
      <c r="U5" s="44"/>
      <c r="V5" s="908">
        <f t="shared" ref="V5:V7" si="4">+S5-F5+C5</f>
        <v>0</v>
      </c>
      <c r="W5" s="46"/>
      <c r="X5" s="46"/>
    </row>
    <row r="6" spans="1:26" ht="20.100000000000001" customHeight="1" x14ac:dyDescent="0.3">
      <c r="A6" s="100"/>
      <c r="B6" s="100" t="s">
        <v>379</v>
      </c>
      <c r="C6" s="101">
        <f>+C102</f>
        <v>56999000</v>
      </c>
      <c r="D6" s="101">
        <f t="shared" ref="D6:F6" si="5">+D102</f>
        <v>56999000</v>
      </c>
      <c r="E6" s="101">
        <f t="shared" si="5"/>
        <v>56999000</v>
      </c>
      <c r="F6" s="101">
        <f t="shared" si="5"/>
        <v>56999000</v>
      </c>
      <c r="G6" s="101"/>
      <c r="H6" s="995">
        <f t="shared" ref="H6:J6" si="6">+H102</f>
        <v>30263893</v>
      </c>
      <c r="I6" s="995">
        <f t="shared" si="6"/>
        <v>43600109</v>
      </c>
      <c r="J6" s="995">
        <f t="shared" si="6"/>
        <v>59344326</v>
      </c>
      <c r="K6" s="996"/>
      <c r="L6" s="933">
        <f t="shared" si="2"/>
        <v>0.53095480622467062</v>
      </c>
      <c r="M6" s="933">
        <f t="shared" si="3"/>
        <v>0.76492761276513621</v>
      </c>
      <c r="N6" s="933">
        <f t="shared" ref="N6:N7" si="7">IF(E6=0,0,J6/E6)</f>
        <v>1.0411467920489834</v>
      </c>
      <c r="O6" s="22"/>
      <c r="P6" s="101">
        <f t="shared" ref="P6:S6" si="8">+P102</f>
        <v>0</v>
      </c>
      <c r="Q6" s="101">
        <f t="shared" si="8"/>
        <v>0</v>
      </c>
      <c r="R6" s="101">
        <f t="shared" si="8"/>
        <v>0</v>
      </c>
      <c r="S6" s="101">
        <f t="shared" si="8"/>
        <v>0</v>
      </c>
      <c r="T6" s="22">
        <f>IF(C6=0,0,+S6/C6)</f>
        <v>0</v>
      </c>
      <c r="U6" s="44"/>
      <c r="V6" s="908">
        <f t="shared" si="4"/>
        <v>0</v>
      </c>
      <c r="W6" s="46"/>
      <c r="X6" s="46"/>
    </row>
    <row r="7" spans="1:26" ht="20.100000000000001" customHeight="1" x14ac:dyDescent="0.3">
      <c r="A7" s="100"/>
      <c r="B7" s="100" t="s">
        <v>416</v>
      </c>
      <c r="C7" s="101">
        <f>+C6-C5</f>
        <v>0</v>
      </c>
      <c r="D7" s="101">
        <f t="shared" ref="D7:H7" si="9">+D6-D5</f>
        <v>0</v>
      </c>
      <c r="E7" s="101">
        <f t="shared" si="9"/>
        <v>0</v>
      </c>
      <c r="F7" s="101">
        <f t="shared" si="9"/>
        <v>0</v>
      </c>
      <c r="G7" s="101"/>
      <c r="H7" s="995">
        <f t="shared" si="9"/>
        <v>4246135</v>
      </c>
      <c r="I7" s="995">
        <f>+I6-I5</f>
        <v>3240505</v>
      </c>
      <c r="J7" s="995">
        <f t="shared" ref="J7" si="10">+J6-J5</f>
        <v>2656361</v>
      </c>
      <c r="K7" s="996"/>
      <c r="L7" s="933">
        <f t="shared" si="2"/>
        <v>0</v>
      </c>
      <c r="M7" s="933">
        <f t="shared" si="3"/>
        <v>0</v>
      </c>
      <c r="N7" s="933">
        <f t="shared" si="7"/>
        <v>0</v>
      </c>
      <c r="O7" s="22"/>
      <c r="P7" s="101">
        <f t="shared" ref="P7:S7" si="11">+P6-P5</f>
        <v>0</v>
      </c>
      <c r="Q7" s="101">
        <f t="shared" si="11"/>
        <v>0</v>
      </c>
      <c r="R7" s="101">
        <f t="shared" si="11"/>
        <v>0</v>
      </c>
      <c r="S7" s="101">
        <f t="shared" si="11"/>
        <v>0</v>
      </c>
      <c r="T7" s="22">
        <f>IF(C7=0,0,+S7/C7)</f>
        <v>0</v>
      </c>
      <c r="U7" s="44"/>
      <c r="V7" s="908">
        <f t="shared" si="4"/>
        <v>0</v>
      </c>
      <c r="W7" s="46"/>
      <c r="X7" s="46"/>
    </row>
    <row r="8" spans="1:26" ht="13.2" x14ac:dyDescent="0.25">
      <c r="A8" s="90"/>
      <c r="B8" s="91"/>
      <c r="C8" s="37"/>
      <c r="D8" s="40"/>
      <c r="E8" s="40"/>
      <c r="F8" s="40"/>
      <c r="G8" s="41"/>
      <c r="H8" s="41"/>
      <c r="I8" s="41"/>
      <c r="J8" s="41"/>
      <c r="K8" s="41"/>
      <c r="L8" s="958"/>
      <c r="M8" s="958"/>
      <c r="N8" s="958"/>
      <c r="O8" s="45"/>
      <c r="P8" s="38"/>
      <c r="Q8" s="38"/>
      <c r="R8" s="38"/>
      <c r="S8" s="38"/>
      <c r="T8" s="57"/>
      <c r="U8" s="45"/>
      <c r="V8" s="75"/>
      <c r="W8" s="46"/>
      <c r="X8" s="46"/>
    </row>
    <row r="9" spans="1:26" ht="15.6" x14ac:dyDescent="0.3">
      <c r="A9" s="35"/>
      <c r="B9" s="92"/>
      <c r="C9" s="1120" t="s">
        <v>415</v>
      </c>
      <c r="D9" s="1121"/>
      <c r="E9" s="1121"/>
      <c r="F9" s="1122"/>
      <c r="G9" s="59"/>
      <c r="H9" s="1120" t="s">
        <v>414</v>
      </c>
      <c r="I9" s="1121"/>
      <c r="J9" s="1121"/>
      <c r="K9" s="1121"/>
      <c r="L9" s="1121"/>
      <c r="M9" s="1121"/>
      <c r="N9" s="1122"/>
      <c r="O9" s="59"/>
      <c r="P9" s="1120" t="s">
        <v>411</v>
      </c>
      <c r="Q9" s="1121"/>
      <c r="R9" s="1121"/>
      <c r="S9" s="1121"/>
      <c r="T9" s="1122"/>
      <c r="U9" s="76"/>
      <c r="V9" s="75"/>
      <c r="W9" s="46"/>
      <c r="X9" s="46"/>
    </row>
    <row r="10" spans="1:26" ht="13.2" x14ac:dyDescent="0.25">
      <c r="A10" s="104"/>
      <c r="B10" s="103"/>
      <c r="C10" s="88"/>
      <c r="D10" s="39"/>
      <c r="E10" s="39"/>
      <c r="F10" s="89"/>
      <c r="G10" s="54"/>
      <c r="H10" s="1123" t="s">
        <v>424</v>
      </c>
      <c r="I10" s="1124"/>
      <c r="J10" s="1125"/>
      <c r="K10" s="54"/>
      <c r="L10" s="1123" t="s">
        <v>423</v>
      </c>
      <c r="M10" s="1124"/>
      <c r="N10" s="1125"/>
      <c r="O10" s="55"/>
      <c r="P10" s="48">
        <f>+'3. Önk. Kiadások'!P8</f>
        <v>1</v>
      </c>
      <c r="Q10" s="48">
        <f>+'3. Önk. Kiadások'!Q8</f>
        <v>1</v>
      </c>
      <c r="R10" s="48">
        <f>+'3. Önk. Kiadások'!R8</f>
        <v>1</v>
      </c>
      <c r="S10" s="48"/>
      <c r="T10" s="48"/>
      <c r="U10" s="58"/>
      <c r="V10" s="102"/>
      <c r="W10" s="51"/>
      <c r="X10" s="51"/>
      <c r="Y10" s="51"/>
      <c r="Z10" s="51"/>
    </row>
    <row r="11" spans="1:26" ht="61.2" x14ac:dyDescent="0.25">
      <c r="A11" s="19" t="s">
        <v>375</v>
      </c>
      <c r="B11" s="19" t="s">
        <v>373</v>
      </c>
      <c r="C11" s="163" t="s">
        <v>484</v>
      </c>
      <c r="D11" s="141" t="s">
        <v>485</v>
      </c>
      <c r="E11" s="141" t="s">
        <v>486</v>
      </c>
      <c r="F11" s="164" t="s">
        <v>487</v>
      </c>
      <c r="G11" s="141"/>
      <c r="H11" s="160" t="s">
        <v>497</v>
      </c>
      <c r="I11" s="142" t="s">
        <v>498</v>
      </c>
      <c r="J11" s="142" t="s">
        <v>499</v>
      </c>
      <c r="K11" s="141"/>
      <c r="L11" s="143" t="s">
        <v>500</v>
      </c>
      <c r="M11" s="143" t="s">
        <v>502</v>
      </c>
      <c r="N11" s="161" t="s">
        <v>501</v>
      </c>
      <c r="O11" s="141"/>
      <c r="P11" s="160" t="s">
        <v>494</v>
      </c>
      <c r="Q11" s="142" t="s">
        <v>495</v>
      </c>
      <c r="R11" s="142" t="s">
        <v>496</v>
      </c>
      <c r="S11" s="142" t="s">
        <v>412</v>
      </c>
      <c r="T11" s="161" t="s">
        <v>413</v>
      </c>
      <c r="U11" s="74"/>
      <c r="V11" s="52" t="s">
        <v>417</v>
      </c>
      <c r="W11" s="46"/>
      <c r="X11" s="46"/>
    </row>
    <row r="12" spans="1:26" ht="13.2" x14ac:dyDescent="0.25">
      <c r="A12" s="10"/>
      <c r="B12" s="14"/>
      <c r="C12" s="36"/>
      <c r="D12" s="36"/>
      <c r="E12" s="36"/>
      <c r="F12" s="36"/>
      <c r="G12" s="36"/>
      <c r="H12" s="36"/>
      <c r="I12" s="36"/>
      <c r="J12" s="36"/>
      <c r="K12" s="36"/>
      <c r="L12" s="997"/>
      <c r="M12" s="998"/>
      <c r="N12" s="997"/>
      <c r="O12" s="36"/>
      <c r="P12" s="36"/>
      <c r="Q12" s="36"/>
      <c r="R12" s="36"/>
      <c r="S12" s="36"/>
      <c r="T12" s="40"/>
      <c r="U12" s="40"/>
      <c r="V12" s="1004"/>
      <c r="W12" s="486"/>
      <c r="X12" s="486"/>
      <c r="Y12" s="486"/>
      <c r="Z12" s="486"/>
    </row>
    <row r="13" spans="1:26" ht="12.75" customHeight="1" x14ac:dyDescent="0.25">
      <c r="A13" s="6" t="s">
        <v>0</v>
      </c>
      <c r="B13" s="5" t="s">
        <v>3</v>
      </c>
      <c r="C13" s="105">
        <f>SUM(C14:C28)</f>
        <v>38374000</v>
      </c>
      <c r="D13" s="105">
        <f t="shared" ref="D13:K13" si="12">SUM(D14:D28)</f>
        <v>38374000</v>
      </c>
      <c r="E13" s="105">
        <f t="shared" si="12"/>
        <v>38374000</v>
      </c>
      <c r="F13" s="105">
        <f t="shared" si="12"/>
        <v>39119000</v>
      </c>
      <c r="G13" s="105"/>
      <c r="H13" s="105">
        <f t="shared" si="12"/>
        <v>18295020</v>
      </c>
      <c r="I13" s="105">
        <f t="shared" si="12"/>
        <v>28249333</v>
      </c>
      <c r="J13" s="105">
        <f t="shared" si="12"/>
        <v>39003930</v>
      </c>
      <c r="K13" s="105">
        <f t="shared" si="12"/>
        <v>0</v>
      </c>
      <c r="L13" s="950">
        <f>IF(C13=0,0,H13/C13)</f>
        <v>0.47675561578151876</v>
      </c>
      <c r="M13" s="950">
        <f>IF(D13=0,0,I13/D13)</f>
        <v>0.73615815395840933</v>
      </c>
      <c r="N13" s="950">
        <f>IF(E13=0,0,J13/E13)</f>
        <v>1.0164155417730756</v>
      </c>
      <c r="O13" s="105"/>
      <c r="P13" s="105">
        <f t="shared" ref="P13:P27" si="13">+(D13-C13)*P$10</f>
        <v>0</v>
      </c>
      <c r="Q13" s="105">
        <f t="shared" ref="Q13:Q27" si="14">+(E13-D13)*Q$10</f>
        <v>0</v>
      </c>
      <c r="R13" s="105">
        <f t="shared" ref="R13:R27" si="15">+(F13-E13)*R$10</f>
        <v>745000</v>
      </c>
      <c r="S13" s="105">
        <f t="shared" ref="S13:S27" si="16">SUM(P13:R13)</f>
        <v>745000</v>
      </c>
      <c r="T13" s="1005">
        <f t="shared" ref="T13:T14" si="17">IF(C13=0,0,+S13/C13)</f>
        <v>1.9414186688903944E-2</v>
      </c>
      <c r="U13" s="1006"/>
      <c r="V13" s="906">
        <f t="shared" ref="V13:V76" si="18">+S13-F13+C13</f>
        <v>0</v>
      </c>
      <c r="W13" s="486"/>
      <c r="X13" s="486"/>
      <c r="Y13" s="486"/>
      <c r="Z13" s="486"/>
    </row>
    <row r="14" spans="1:26" ht="12.75" customHeight="1" x14ac:dyDescent="0.25">
      <c r="A14" s="10" t="s">
        <v>1</v>
      </c>
      <c r="B14" s="14"/>
      <c r="C14" s="106"/>
      <c r="D14" s="106"/>
      <c r="E14" s="106"/>
      <c r="F14" s="106"/>
      <c r="G14" s="106"/>
      <c r="H14" s="107"/>
      <c r="I14" s="107"/>
      <c r="J14" s="107"/>
      <c r="K14" s="106"/>
      <c r="L14" s="958">
        <f t="shared" ref="L14:L77" si="19">IF(C14=0,0,H14/C14)</f>
        <v>0</v>
      </c>
      <c r="M14" s="958">
        <f t="shared" ref="M14:M77" si="20">IF(D14=0,0,I14/D14)</f>
        <v>0</v>
      </c>
      <c r="N14" s="958">
        <f t="shared" ref="N14:N77" si="21">IF(E14=0,0,J14/E14)</f>
        <v>0</v>
      </c>
      <c r="O14" s="106"/>
      <c r="P14" s="38">
        <f t="shared" si="13"/>
        <v>0</v>
      </c>
      <c r="Q14" s="38">
        <f t="shared" si="14"/>
        <v>0</v>
      </c>
      <c r="R14" s="38">
        <f t="shared" si="15"/>
        <v>0</v>
      </c>
      <c r="S14" s="38">
        <f t="shared" si="16"/>
        <v>0</v>
      </c>
      <c r="T14" s="1007">
        <f t="shared" si="17"/>
        <v>0</v>
      </c>
      <c r="U14" s="1006"/>
      <c r="V14" s="906">
        <f t="shared" si="18"/>
        <v>0</v>
      </c>
      <c r="W14" s="486"/>
      <c r="X14" s="486"/>
      <c r="Y14" s="486"/>
      <c r="Z14" s="486"/>
    </row>
    <row r="15" spans="1:26" ht="12.75" customHeight="1" x14ac:dyDescent="0.25">
      <c r="A15" s="10" t="s">
        <v>2</v>
      </c>
      <c r="B15" s="157" t="s">
        <v>364</v>
      </c>
      <c r="C15" s="106">
        <v>36534000</v>
      </c>
      <c r="D15" s="106">
        <v>35634000</v>
      </c>
      <c r="E15" s="106">
        <v>35634000</v>
      </c>
      <c r="F15" s="106">
        <v>36049000</v>
      </c>
      <c r="G15" s="106"/>
      <c r="H15" s="107">
        <v>17250382</v>
      </c>
      <c r="I15" s="107">
        <v>26474205</v>
      </c>
      <c r="J15" s="107">
        <v>36048506</v>
      </c>
      <c r="K15" s="106"/>
      <c r="L15" s="958">
        <f t="shared" si="19"/>
        <v>0.47217337274867249</v>
      </c>
      <c r="M15" s="958">
        <f t="shared" si="20"/>
        <v>0.74294788684963797</v>
      </c>
      <c r="N15" s="958">
        <f t="shared" si="21"/>
        <v>1.0116323174496267</v>
      </c>
      <c r="O15" s="106"/>
      <c r="P15" s="38">
        <f t="shared" si="13"/>
        <v>-900000</v>
      </c>
      <c r="Q15" s="38">
        <f t="shared" si="14"/>
        <v>0</v>
      </c>
      <c r="R15" s="38">
        <f t="shared" si="15"/>
        <v>415000</v>
      </c>
      <c r="S15" s="38">
        <f t="shared" si="16"/>
        <v>-485000</v>
      </c>
      <c r="T15" s="1007">
        <f t="shared" ref="T15:T27" si="22">IF(C15=0,0,+S15/C15)</f>
        <v>-1.3275305195160672E-2</v>
      </c>
      <c r="U15" s="1006"/>
      <c r="V15" s="906">
        <f t="shared" si="18"/>
        <v>0</v>
      </c>
      <c r="W15" s="486"/>
      <c r="X15" s="486"/>
      <c r="Y15" s="486"/>
      <c r="Z15" s="486"/>
    </row>
    <row r="16" spans="1:26" ht="12.75" customHeight="1" x14ac:dyDescent="0.25">
      <c r="A16" s="10" t="s">
        <v>13</v>
      </c>
      <c r="B16" s="14" t="s">
        <v>384</v>
      </c>
      <c r="C16" s="106">
        <v>0</v>
      </c>
      <c r="D16" s="106">
        <v>0</v>
      </c>
      <c r="E16" s="106">
        <v>0</v>
      </c>
      <c r="F16" s="106"/>
      <c r="G16" s="106"/>
      <c r="H16" s="107"/>
      <c r="I16" s="107"/>
      <c r="J16" s="107"/>
      <c r="K16" s="106"/>
      <c r="L16" s="958">
        <f t="shared" si="19"/>
        <v>0</v>
      </c>
      <c r="M16" s="958">
        <f t="shared" si="20"/>
        <v>0</v>
      </c>
      <c r="N16" s="958">
        <f t="shared" si="21"/>
        <v>0</v>
      </c>
      <c r="O16" s="106"/>
      <c r="P16" s="38">
        <f t="shared" si="13"/>
        <v>0</v>
      </c>
      <c r="Q16" s="38">
        <f t="shared" si="14"/>
        <v>0</v>
      </c>
      <c r="R16" s="38">
        <f t="shared" si="15"/>
        <v>0</v>
      </c>
      <c r="S16" s="38">
        <f t="shared" si="16"/>
        <v>0</v>
      </c>
      <c r="T16" s="1007">
        <f t="shared" si="22"/>
        <v>0</v>
      </c>
      <c r="U16" s="1006"/>
      <c r="V16" s="906">
        <f t="shared" si="18"/>
        <v>0</v>
      </c>
      <c r="W16" s="486"/>
      <c r="X16" s="486"/>
      <c r="Y16" s="486"/>
      <c r="Z16" s="486"/>
    </row>
    <row r="17" spans="1:26" ht="12.75" customHeight="1" x14ac:dyDescent="0.25">
      <c r="A17" s="10" t="s">
        <v>14</v>
      </c>
      <c r="B17" s="14" t="s">
        <v>382</v>
      </c>
      <c r="C17" s="106">
        <v>0</v>
      </c>
      <c r="D17" s="106">
        <v>0</v>
      </c>
      <c r="E17" s="106">
        <v>0</v>
      </c>
      <c r="F17" s="106"/>
      <c r="G17" s="106"/>
      <c r="H17" s="107"/>
      <c r="I17" s="107"/>
      <c r="J17" s="107"/>
      <c r="K17" s="106"/>
      <c r="L17" s="958">
        <f t="shared" si="19"/>
        <v>0</v>
      </c>
      <c r="M17" s="958">
        <f t="shared" si="20"/>
        <v>0</v>
      </c>
      <c r="N17" s="958">
        <f t="shared" si="21"/>
        <v>0</v>
      </c>
      <c r="O17" s="106"/>
      <c r="P17" s="38">
        <f t="shared" si="13"/>
        <v>0</v>
      </c>
      <c r="Q17" s="38">
        <f t="shared" si="14"/>
        <v>0</v>
      </c>
      <c r="R17" s="38">
        <f t="shared" si="15"/>
        <v>0</v>
      </c>
      <c r="S17" s="38">
        <f t="shared" si="16"/>
        <v>0</v>
      </c>
      <c r="T17" s="1007">
        <f t="shared" si="22"/>
        <v>0</v>
      </c>
      <c r="U17" s="1006"/>
      <c r="V17" s="906">
        <f t="shared" si="18"/>
        <v>0</v>
      </c>
      <c r="W17" s="486"/>
      <c r="X17" s="486"/>
      <c r="Y17" s="486"/>
      <c r="Z17" s="486"/>
    </row>
    <row r="18" spans="1:26" ht="12.75" customHeight="1" x14ac:dyDescent="0.25">
      <c r="A18" s="165" t="s">
        <v>389</v>
      </c>
      <c r="B18" s="14" t="s">
        <v>6</v>
      </c>
      <c r="C18" s="106"/>
      <c r="D18" s="106"/>
      <c r="E18" s="106"/>
      <c r="F18" s="106"/>
      <c r="G18" s="106"/>
      <c r="H18" s="107"/>
      <c r="I18" s="107"/>
      <c r="J18" s="107"/>
      <c r="K18" s="106"/>
      <c r="L18" s="958">
        <f t="shared" si="19"/>
        <v>0</v>
      </c>
      <c r="M18" s="958">
        <f t="shared" si="20"/>
        <v>0</v>
      </c>
      <c r="N18" s="958">
        <f t="shared" si="21"/>
        <v>0</v>
      </c>
      <c r="O18" s="106"/>
      <c r="P18" s="38">
        <f t="shared" si="13"/>
        <v>0</v>
      </c>
      <c r="Q18" s="38">
        <f t="shared" si="14"/>
        <v>0</v>
      </c>
      <c r="R18" s="38">
        <f t="shared" si="15"/>
        <v>0</v>
      </c>
      <c r="S18" s="38">
        <f t="shared" si="16"/>
        <v>0</v>
      </c>
      <c r="T18" s="1007">
        <f t="shared" si="22"/>
        <v>0</v>
      </c>
      <c r="U18" s="1006"/>
      <c r="V18" s="906">
        <f t="shared" si="18"/>
        <v>0</v>
      </c>
      <c r="W18" s="486"/>
      <c r="X18" s="486"/>
      <c r="Y18" s="486"/>
      <c r="Z18" s="486"/>
    </row>
    <row r="19" spans="1:26" ht="12.75" customHeight="1" x14ac:dyDescent="0.25">
      <c r="A19" s="10" t="s">
        <v>15</v>
      </c>
      <c r="B19" s="14" t="s">
        <v>7</v>
      </c>
      <c r="C19" s="106">
        <f>16*5000*12</f>
        <v>960000</v>
      </c>
      <c r="D19" s="106">
        <v>960000</v>
      </c>
      <c r="E19" s="106">
        <v>960000</v>
      </c>
      <c r="F19" s="106">
        <v>1840000</v>
      </c>
      <c r="G19" s="106"/>
      <c r="H19" s="106">
        <v>450000</v>
      </c>
      <c r="I19" s="106">
        <v>860000</v>
      </c>
      <c r="J19" s="106">
        <v>1840000</v>
      </c>
      <c r="K19" s="106"/>
      <c r="L19" s="958">
        <f t="shared" si="19"/>
        <v>0.46875</v>
      </c>
      <c r="M19" s="958">
        <f t="shared" si="20"/>
        <v>0.89583333333333337</v>
      </c>
      <c r="N19" s="958">
        <f t="shared" si="21"/>
        <v>1.9166666666666667</v>
      </c>
      <c r="O19" s="106"/>
      <c r="P19" s="38">
        <f t="shared" si="13"/>
        <v>0</v>
      </c>
      <c r="Q19" s="38">
        <f t="shared" si="14"/>
        <v>0</v>
      </c>
      <c r="R19" s="38">
        <f t="shared" si="15"/>
        <v>880000</v>
      </c>
      <c r="S19" s="38">
        <f t="shared" si="16"/>
        <v>880000</v>
      </c>
      <c r="T19" s="1007">
        <f t="shared" si="22"/>
        <v>0.91666666666666663</v>
      </c>
      <c r="U19" s="1006"/>
      <c r="V19" s="906">
        <f t="shared" si="18"/>
        <v>0</v>
      </c>
      <c r="W19" s="486"/>
      <c r="X19" s="486"/>
      <c r="Y19" s="486"/>
      <c r="Z19" s="486"/>
    </row>
    <row r="20" spans="1:26" ht="12.75" customHeight="1" x14ac:dyDescent="0.25">
      <c r="A20" s="10" t="s">
        <v>16</v>
      </c>
      <c r="B20" s="14" t="s">
        <v>8</v>
      </c>
      <c r="C20" s="106"/>
      <c r="D20" s="106"/>
      <c r="E20" s="106"/>
      <c r="F20" s="106"/>
      <c r="G20" s="106"/>
      <c r="H20" s="107"/>
      <c r="I20" s="107"/>
      <c r="J20" s="107"/>
      <c r="K20" s="106"/>
      <c r="L20" s="958">
        <f t="shared" si="19"/>
        <v>0</v>
      </c>
      <c r="M20" s="958">
        <f t="shared" si="20"/>
        <v>0</v>
      </c>
      <c r="N20" s="958">
        <f t="shared" si="21"/>
        <v>0</v>
      </c>
      <c r="O20" s="106"/>
      <c r="P20" s="38">
        <f t="shared" si="13"/>
        <v>0</v>
      </c>
      <c r="Q20" s="38">
        <f t="shared" si="14"/>
        <v>0</v>
      </c>
      <c r="R20" s="38">
        <f t="shared" si="15"/>
        <v>0</v>
      </c>
      <c r="S20" s="38">
        <f t="shared" si="16"/>
        <v>0</v>
      </c>
      <c r="T20" s="1007">
        <f t="shared" si="22"/>
        <v>0</v>
      </c>
      <c r="U20" s="1006"/>
      <c r="V20" s="906">
        <f t="shared" si="18"/>
        <v>0</v>
      </c>
      <c r="W20" s="486"/>
      <c r="X20" s="486"/>
      <c r="Y20" s="486"/>
      <c r="Z20" s="486"/>
    </row>
    <row r="21" spans="1:26" ht="12.75" customHeight="1" x14ac:dyDescent="0.25">
      <c r="A21" s="10" t="s">
        <v>17</v>
      </c>
      <c r="B21" s="14" t="s">
        <v>9</v>
      </c>
      <c r="C21" s="106">
        <v>400000</v>
      </c>
      <c r="D21" s="106">
        <v>400000</v>
      </c>
      <c r="E21" s="106">
        <v>400000</v>
      </c>
      <c r="F21" s="106">
        <v>250000</v>
      </c>
      <c r="G21" s="106"/>
      <c r="H21" s="107">
        <v>74977</v>
      </c>
      <c r="I21" s="107">
        <v>141347</v>
      </c>
      <c r="J21" s="107">
        <v>216659</v>
      </c>
      <c r="K21" s="106"/>
      <c r="L21" s="958">
        <f t="shared" si="19"/>
        <v>0.18744250000000001</v>
      </c>
      <c r="M21" s="958">
        <f t="shared" si="20"/>
        <v>0.3533675</v>
      </c>
      <c r="N21" s="958">
        <f t="shared" si="21"/>
        <v>0.54164749999999995</v>
      </c>
      <c r="O21" s="106"/>
      <c r="P21" s="38">
        <f t="shared" si="13"/>
        <v>0</v>
      </c>
      <c r="Q21" s="38">
        <f t="shared" si="14"/>
        <v>0</v>
      </c>
      <c r="R21" s="38">
        <f t="shared" si="15"/>
        <v>-150000</v>
      </c>
      <c r="S21" s="38">
        <f t="shared" si="16"/>
        <v>-150000</v>
      </c>
      <c r="T21" s="1007">
        <f t="shared" si="22"/>
        <v>-0.375</v>
      </c>
      <c r="U21" s="1006"/>
      <c r="V21" s="906">
        <f t="shared" si="18"/>
        <v>0</v>
      </c>
      <c r="W21" s="486"/>
      <c r="X21" s="486"/>
      <c r="Y21" s="486"/>
      <c r="Z21" s="486"/>
    </row>
    <row r="22" spans="1:26" ht="12.75" customHeight="1" x14ac:dyDescent="0.25">
      <c r="A22" s="10" t="s">
        <v>18</v>
      </c>
      <c r="B22" s="14" t="s">
        <v>10</v>
      </c>
      <c r="C22" s="106"/>
      <c r="D22" s="106"/>
      <c r="E22" s="106"/>
      <c r="F22" s="106"/>
      <c r="G22" s="106"/>
      <c r="H22" s="107"/>
      <c r="I22" s="107"/>
      <c r="J22" s="107"/>
      <c r="K22" s="106"/>
      <c r="L22" s="958">
        <f t="shared" si="19"/>
        <v>0</v>
      </c>
      <c r="M22" s="958">
        <f t="shared" si="20"/>
        <v>0</v>
      </c>
      <c r="N22" s="958">
        <f t="shared" si="21"/>
        <v>0</v>
      </c>
      <c r="O22" s="106"/>
      <c r="P22" s="38">
        <f t="shared" si="13"/>
        <v>0</v>
      </c>
      <c r="Q22" s="38">
        <f t="shared" si="14"/>
        <v>0</v>
      </c>
      <c r="R22" s="38">
        <f t="shared" si="15"/>
        <v>0</v>
      </c>
      <c r="S22" s="38">
        <f t="shared" si="16"/>
        <v>0</v>
      </c>
      <c r="T22" s="1007">
        <f t="shared" si="22"/>
        <v>0</v>
      </c>
      <c r="U22" s="1006"/>
      <c r="V22" s="906">
        <f t="shared" si="18"/>
        <v>0</v>
      </c>
      <c r="W22" s="486"/>
      <c r="X22" s="486"/>
      <c r="Y22" s="486"/>
      <c r="Z22" s="486"/>
    </row>
    <row r="23" spans="1:26" ht="12.75" customHeight="1" x14ac:dyDescent="0.25">
      <c r="A23" s="10" t="s">
        <v>19</v>
      </c>
      <c r="B23" s="14" t="s">
        <v>11</v>
      </c>
      <c r="C23" s="106">
        <v>0</v>
      </c>
      <c r="D23" s="106">
        <v>900000</v>
      </c>
      <c r="E23" s="106">
        <v>900000</v>
      </c>
      <c r="F23" s="106">
        <v>600000</v>
      </c>
      <c r="G23" s="106"/>
      <c r="H23" s="107">
        <v>323391</v>
      </c>
      <c r="I23" s="107">
        <v>517511</v>
      </c>
      <c r="J23" s="107">
        <v>582495</v>
      </c>
      <c r="K23" s="106"/>
      <c r="L23" s="958">
        <f t="shared" si="19"/>
        <v>0</v>
      </c>
      <c r="M23" s="958">
        <f t="shared" si="20"/>
        <v>0.57501222222222226</v>
      </c>
      <c r="N23" s="958">
        <f t="shared" si="21"/>
        <v>0.64721666666666666</v>
      </c>
      <c r="O23" s="106"/>
      <c r="P23" s="38">
        <f t="shared" si="13"/>
        <v>900000</v>
      </c>
      <c r="Q23" s="38">
        <f t="shared" si="14"/>
        <v>0</v>
      </c>
      <c r="R23" s="38">
        <f t="shared" si="15"/>
        <v>-300000</v>
      </c>
      <c r="S23" s="38">
        <f t="shared" si="16"/>
        <v>600000</v>
      </c>
      <c r="T23" s="1007">
        <f t="shared" si="22"/>
        <v>0</v>
      </c>
      <c r="U23" s="1006"/>
      <c r="V23" s="906">
        <f t="shared" si="18"/>
        <v>0</v>
      </c>
      <c r="W23" s="486"/>
      <c r="X23" s="486"/>
      <c r="Y23" s="486"/>
      <c r="Z23" s="486"/>
    </row>
    <row r="24" spans="1:26" ht="12.75" customHeight="1" x14ac:dyDescent="0.25">
      <c r="A24" s="10" t="s">
        <v>20</v>
      </c>
      <c r="B24" s="14"/>
      <c r="C24" s="106"/>
      <c r="D24" s="106"/>
      <c r="E24" s="106"/>
      <c r="F24" s="106"/>
      <c r="G24" s="106"/>
      <c r="H24" s="107"/>
      <c r="I24" s="107"/>
      <c r="J24" s="107"/>
      <c r="K24" s="106"/>
      <c r="L24" s="958">
        <f t="shared" si="19"/>
        <v>0</v>
      </c>
      <c r="M24" s="958">
        <f t="shared" si="20"/>
        <v>0</v>
      </c>
      <c r="N24" s="958">
        <f t="shared" si="21"/>
        <v>0</v>
      </c>
      <c r="O24" s="106"/>
      <c r="P24" s="38">
        <f t="shared" si="13"/>
        <v>0</v>
      </c>
      <c r="Q24" s="38">
        <f t="shared" si="14"/>
        <v>0</v>
      </c>
      <c r="R24" s="38">
        <f t="shared" si="15"/>
        <v>0</v>
      </c>
      <c r="S24" s="38">
        <f t="shared" si="16"/>
        <v>0</v>
      </c>
      <c r="T24" s="1007">
        <f t="shared" si="22"/>
        <v>0</v>
      </c>
      <c r="U24" s="1006"/>
      <c r="V24" s="906">
        <f t="shared" si="18"/>
        <v>0</v>
      </c>
      <c r="W24" s="486"/>
      <c r="X24" s="486"/>
      <c r="Y24" s="486"/>
      <c r="Z24" s="486"/>
    </row>
    <row r="25" spans="1:26" ht="12.75" customHeight="1" x14ac:dyDescent="0.25">
      <c r="A25" s="10" t="s">
        <v>21</v>
      </c>
      <c r="B25" s="14" t="s">
        <v>22</v>
      </c>
      <c r="C25" s="106"/>
      <c r="D25" s="106"/>
      <c r="E25" s="106"/>
      <c r="F25" s="106"/>
      <c r="G25" s="106"/>
      <c r="H25" s="107"/>
      <c r="I25" s="107"/>
      <c r="J25" s="107"/>
      <c r="K25" s="106"/>
      <c r="L25" s="958">
        <f t="shared" si="19"/>
        <v>0</v>
      </c>
      <c r="M25" s="958">
        <f t="shared" si="20"/>
        <v>0</v>
      </c>
      <c r="N25" s="958">
        <f t="shared" si="21"/>
        <v>0</v>
      </c>
      <c r="O25" s="106"/>
      <c r="P25" s="38">
        <f t="shared" si="13"/>
        <v>0</v>
      </c>
      <c r="Q25" s="38">
        <f t="shared" si="14"/>
        <v>0</v>
      </c>
      <c r="R25" s="38">
        <f t="shared" si="15"/>
        <v>0</v>
      </c>
      <c r="S25" s="38">
        <f t="shared" si="16"/>
        <v>0</v>
      </c>
      <c r="T25" s="1007">
        <f t="shared" si="22"/>
        <v>0</v>
      </c>
      <c r="U25" s="1006"/>
      <c r="V25" s="906">
        <f t="shared" si="18"/>
        <v>0</v>
      </c>
      <c r="W25" s="486"/>
      <c r="X25" s="486"/>
      <c r="Y25" s="486"/>
      <c r="Z25" s="486"/>
    </row>
    <row r="26" spans="1:26" ht="12.75" customHeight="1" x14ac:dyDescent="0.25">
      <c r="A26" s="10" t="s">
        <v>23</v>
      </c>
      <c r="B26" s="14" t="s">
        <v>24</v>
      </c>
      <c r="C26" s="175">
        <f>40000*12</f>
        <v>480000</v>
      </c>
      <c r="D26" s="106">
        <v>480000</v>
      </c>
      <c r="E26" s="106">
        <v>480000</v>
      </c>
      <c r="F26" s="106">
        <v>380000</v>
      </c>
      <c r="G26" s="106"/>
      <c r="H26" s="107">
        <v>196270</v>
      </c>
      <c r="I26" s="107">
        <v>256270</v>
      </c>
      <c r="J26" s="107">
        <v>316270</v>
      </c>
      <c r="K26" s="106"/>
      <c r="L26" s="958">
        <f t="shared" si="19"/>
        <v>0.40889583333333335</v>
      </c>
      <c r="M26" s="958">
        <f t="shared" si="20"/>
        <v>0.53389583333333335</v>
      </c>
      <c r="N26" s="958">
        <f t="shared" si="21"/>
        <v>0.65889583333333335</v>
      </c>
      <c r="O26" s="106"/>
      <c r="P26" s="38">
        <f t="shared" si="13"/>
        <v>0</v>
      </c>
      <c r="Q26" s="38">
        <f t="shared" si="14"/>
        <v>0</v>
      </c>
      <c r="R26" s="38">
        <f t="shared" si="15"/>
        <v>-100000</v>
      </c>
      <c r="S26" s="38">
        <f t="shared" si="16"/>
        <v>-100000</v>
      </c>
      <c r="T26" s="1007">
        <f t="shared" si="22"/>
        <v>-0.20833333333333334</v>
      </c>
      <c r="U26" s="1006"/>
      <c r="V26" s="906">
        <f t="shared" si="18"/>
        <v>0</v>
      </c>
      <c r="W26" s="486"/>
      <c r="X26" s="486"/>
      <c r="Y26" s="486"/>
      <c r="Z26" s="486"/>
    </row>
    <row r="27" spans="1:26" ht="12.75" customHeight="1" x14ac:dyDescent="0.25">
      <c r="A27" s="10" t="s">
        <v>25</v>
      </c>
      <c r="B27" s="14" t="s">
        <v>26</v>
      </c>
      <c r="C27" s="106">
        <v>0</v>
      </c>
      <c r="D27" s="106">
        <v>0</v>
      </c>
      <c r="E27" s="106">
        <v>0</v>
      </c>
      <c r="F27" s="106"/>
      <c r="G27" s="106"/>
      <c r="H27" s="107">
        <v>0</v>
      </c>
      <c r="I27" s="107">
        <v>0</v>
      </c>
      <c r="J27" s="107"/>
      <c r="K27" s="106"/>
      <c r="L27" s="958">
        <f t="shared" si="19"/>
        <v>0</v>
      </c>
      <c r="M27" s="958">
        <f t="shared" si="20"/>
        <v>0</v>
      </c>
      <c r="N27" s="958">
        <f t="shared" si="21"/>
        <v>0</v>
      </c>
      <c r="O27" s="106"/>
      <c r="P27" s="38">
        <f t="shared" si="13"/>
        <v>0</v>
      </c>
      <c r="Q27" s="38">
        <f t="shared" si="14"/>
        <v>0</v>
      </c>
      <c r="R27" s="38">
        <f t="shared" si="15"/>
        <v>0</v>
      </c>
      <c r="S27" s="38">
        <f t="shared" si="16"/>
        <v>0</v>
      </c>
      <c r="T27" s="1007">
        <f t="shared" si="22"/>
        <v>0</v>
      </c>
      <c r="U27" s="1006"/>
      <c r="V27" s="906">
        <f t="shared" si="18"/>
        <v>0</v>
      </c>
      <c r="W27" s="486"/>
      <c r="X27" s="486"/>
      <c r="Y27" s="486"/>
      <c r="Z27" s="486"/>
    </row>
    <row r="28" spans="1:26" ht="12.75" customHeight="1" x14ac:dyDescent="0.25">
      <c r="A28" s="10"/>
      <c r="B28" s="10"/>
      <c r="C28" s="106"/>
      <c r="D28" s="106"/>
      <c r="E28" s="106"/>
      <c r="F28" s="106"/>
      <c r="G28" s="106"/>
      <c r="H28" s="107"/>
      <c r="I28" s="107"/>
      <c r="J28" s="107"/>
      <c r="K28" s="106"/>
      <c r="L28" s="948"/>
      <c r="M28" s="948"/>
      <c r="N28" s="948"/>
      <c r="O28" s="106"/>
      <c r="P28" s="38">
        <f t="shared" ref="P28:P101" si="23">+(D28-C28)*P$10</f>
        <v>0</v>
      </c>
      <c r="Q28" s="38">
        <f t="shared" ref="Q28:Q101" si="24">+(E28-D28)*Q$10</f>
        <v>0</v>
      </c>
      <c r="R28" s="38">
        <f t="shared" ref="R28:R101" si="25">+(F28-E28)*R$10</f>
        <v>0</v>
      </c>
      <c r="S28" s="38">
        <f t="shared" ref="S28:S101" si="26">SUM(P28:R28)</f>
        <v>0</v>
      </c>
      <c r="T28" s="1007"/>
      <c r="U28" s="1006"/>
      <c r="V28" s="906">
        <f t="shared" si="18"/>
        <v>0</v>
      </c>
      <c r="W28" s="486"/>
      <c r="X28" s="486"/>
      <c r="Y28" s="486"/>
      <c r="Z28" s="486"/>
    </row>
    <row r="29" spans="1:26" ht="12.75" customHeight="1" x14ac:dyDescent="0.25">
      <c r="A29" s="6" t="s">
        <v>27</v>
      </c>
      <c r="B29" s="5" t="s">
        <v>28</v>
      </c>
      <c r="C29" s="105">
        <f>SUM(C30:C31)</f>
        <v>7570000</v>
      </c>
      <c r="D29" s="105">
        <f t="shared" ref="D29:F29" si="27">SUM(D30:D31)</f>
        <v>7570000</v>
      </c>
      <c r="E29" s="105">
        <f t="shared" si="27"/>
        <v>7570000</v>
      </c>
      <c r="F29" s="105">
        <f t="shared" si="27"/>
        <v>7991000</v>
      </c>
      <c r="G29" s="105"/>
      <c r="H29" s="105">
        <f t="shared" ref="H29" si="28">SUM(H30:H31)</f>
        <v>3968216</v>
      </c>
      <c r="I29" s="105">
        <f t="shared" ref="I29" si="29">SUM(I30:I31)</f>
        <v>5974077</v>
      </c>
      <c r="J29" s="105">
        <f t="shared" ref="J29" si="30">SUM(J30:J31)</f>
        <v>7990466</v>
      </c>
      <c r="K29" s="105"/>
      <c r="L29" s="950">
        <f t="shared" si="19"/>
        <v>0.52420290620871868</v>
      </c>
      <c r="M29" s="950">
        <f t="shared" si="20"/>
        <v>0.78917793923381774</v>
      </c>
      <c r="N29" s="950">
        <f t="shared" si="21"/>
        <v>1.0555437252311757</v>
      </c>
      <c r="O29" s="105"/>
      <c r="P29" s="105">
        <f t="shared" si="23"/>
        <v>0</v>
      </c>
      <c r="Q29" s="105">
        <f t="shared" si="24"/>
        <v>0</v>
      </c>
      <c r="R29" s="105">
        <f t="shared" si="25"/>
        <v>421000</v>
      </c>
      <c r="S29" s="105">
        <f t="shared" si="26"/>
        <v>421000</v>
      </c>
      <c r="T29" s="1005">
        <f t="shared" ref="T29:T30" si="31">IF(C29=0,0,+S29/C29)</f>
        <v>5.5614266842800526E-2</v>
      </c>
      <c r="U29" s="1006"/>
      <c r="V29" s="906">
        <f t="shared" si="18"/>
        <v>0</v>
      </c>
      <c r="W29" s="486"/>
      <c r="X29" s="486"/>
      <c r="Y29" s="486"/>
      <c r="Z29" s="486"/>
    </row>
    <row r="30" spans="1:26" ht="12.75" customHeight="1" x14ac:dyDescent="0.25">
      <c r="A30" s="10"/>
      <c r="B30" s="14" t="s">
        <v>29</v>
      </c>
      <c r="C30" s="106">
        <v>7570000</v>
      </c>
      <c r="D30" s="106">
        <v>7570000</v>
      </c>
      <c r="E30" s="106">
        <v>7570000</v>
      </c>
      <c r="F30" s="106">
        <v>7991000</v>
      </c>
      <c r="G30" s="106"/>
      <c r="H30" s="107">
        <v>3968216</v>
      </c>
      <c r="I30" s="108">
        <v>5974077</v>
      </c>
      <c r="J30" s="108">
        <v>7990466</v>
      </c>
      <c r="K30" s="106"/>
      <c r="L30" s="958">
        <f t="shared" si="19"/>
        <v>0.52420290620871868</v>
      </c>
      <c r="M30" s="958">
        <f t="shared" si="20"/>
        <v>0.78917793923381774</v>
      </c>
      <c r="N30" s="958">
        <f t="shared" si="21"/>
        <v>1.0555437252311757</v>
      </c>
      <c r="O30" s="106"/>
      <c r="P30" s="38">
        <f t="shared" si="23"/>
        <v>0</v>
      </c>
      <c r="Q30" s="38">
        <f t="shared" si="24"/>
        <v>0</v>
      </c>
      <c r="R30" s="38">
        <f t="shared" si="25"/>
        <v>421000</v>
      </c>
      <c r="S30" s="38">
        <f t="shared" si="26"/>
        <v>421000</v>
      </c>
      <c r="T30" s="1007">
        <f t="shared" si="31"/>
        <v>5.5614266842800526E-2</v>
      </c>
      <c r="U30" s="1006"/>
      <c r="V30" s="906">
        <f t="shared" si="18"/>
        <v>0</v>
      </c>
      <c r="W30" s="486"/>
      <c r="X30" s="486"/>
      <c r="Y30" s="486"/>
      <c r="Z30" s="486"/>
    </row>
    <row r="31" spans="1:26" ht="12.75" customHeight="1" x14ac:dyDescent="0.25">
      <c r="A31" s="10"/>
      <c r="B31" s="10"/>
      <c r="C31" s="106"/>
      <c r="D31" s="106"/>
      <c r="E31" s="106"/>
      <c r="F31" s="106"/>
      <c r="G31" s="106"/>
      <c r="H31" s="107"/>
      <c r="I31" s="107"/>
      <c r="J31" s="107"/>
      <c r="K31" s="106"/>
      <c r="L31" s="948"/>
      <c r="M31" s="948"/>
      <c r="N31" s="948"/>
      <c r="O31" s="106"/>
      <c r="P31" s="38"/>
      <c r="Q31" s="38"/>
      <c r="R31" s="38"/>
      <c r="S31" s="38"/>
      <c r="T31" s="1007"/>
      <c r="U31" s="1006"/>
      <c r="V31" s="906">
        <f t="shared" si="18"/>
        <v>0</v>
      </c>
      <c r="W31" s="486"/>
      <c r="X31" s="486"/>
      <c r="Y31" s="486"/>
      <c r="Z31" s="486"/>
    </row>
    <row r="32" spans="1:26" ht="12.75" customHeight="1" x14ac:dyDescent="0.25">
      <c r="A32" s="6" t="s">
        <v>30</v>
      </c>
      <c r="B32" s="5" t="s">
        <v>31</v>
      </c>
      <c r="C32" s="105">
        <f t="shared" ref="C32:E32" si="32">+C33+C41+C48+C66+C71</f>
        <v>11039000</v>
      </c>
      <c r="D32" s="105">
        <f t="shared" si="32"/>
        <v>11009000</v>
      </c>
      <c r="E32" s="105">
        <f t="shared" si="32"/>
        <v>10899000</v>
      </c>
      <c r="F32" s="105">
        <f t="shared" ref="F32" si="33">+F33+F41+F48+F66+F71</f>
        <v>9658000</v>
      </c>
      <c r="G32" s="105"/>
      <c r="H32" s="105">
        <f>+H33+H41+H48+H66+H71</f>
        <v>3711532</v>
      </c>
      <c r="I32" s="105">
        <f>+I33+I41+I48+I66+I71</f>
        <v>5986904</v>
      </c>
      <c r="J32" s="105">
        <f t="shared" ref="J32" si="34">+J33+J41+J48+J66+J71</f>
        <v>9464289</v>
      </c>
      <c r="K32" s="105"/>
      <c r="L32" s="950">
        <f t="shared" si="19"/>
        <v>0.33621994745900896</v>
      </c>
      <c r="M32" s="950">
        <f t="shared" si="20"/>
        <v>0.54381905713507128</v>
      </c>
      <c r="N32" s="950">
        <f t="shared" si="21"/>
        <v>0.86836306083126891</v>
      </c>
      <c r="O32" s="105"/>
      <c r="P32" s="105">
        <f t="shared" si="23"/>
        <v>-30000</v>
      </c>
      <c r="Q32" s="105">
        <f t="shared" si="24"/>
        <v>-110000</v>
      </c>
      <c r="R32" s="105">
        <f t="shared" si="25"/>
        <v>-1241000</v>
      </c>
      <c r="S32" s="105">
        <f t="shared" si="26"/>
        <v>-1381000</v>
      </c>
      <c r="T32" s="1005">
        <f t="shared" ref="T32:T34" si="35">IF(C32=0,0,+S32/C32)</f>
        <v>-0.12510191140501858</v>
      </c>
      <c r="U32" s="1006"/>
      <c r="V32" s="906">
        <f t="shared" si="18"/>
        <v>0</v>
      </c>
      <c r="W32" s="486"/>
      <c r="X32" s="486"/>
      <c r="Y32" s="486"/>
      <c r="Z32" s="486"/>
    </row>
    <row r="33" spans="1:26" s="26" customFormat="1" ht="12.75" customHeight="1" x14ac:dyDescent="0.25">
      <c r="A33" s="24" t="s">
        <v>32</v>
      </c>
      <c r="B33" s="25" t="s">
        <v>33</v>
      </c>
      <c r="C33" s="109">
        <f>SUM(C34:C40)</f>
        <v>6060000</v>
      </c>
      <c r="D33" s="109">
        <f t="shared" ref="D33:F33" si="36">SUM(D34:D40)</f>
        <v>5720000</v>
      </c>
      <c r="E33" s="109">
        <f t="shared" si="36"/>
        <v>5610000</v>
      </c>
      <c r="F33" s="109">
        <f t="shared" si="36"/>
        <v>5522000</v>
      </c>
      <c r="G33" s="109"/>
      <c r="H33" s="109">
        <f t="shared" ref="H33" si="37">SUM(H34:H40)</f>
        <v>1737754</v>
      </c>
      <c r="I33" s="109">
        <f t="shared" ref="I33" si="38">SUM(I34:I40)</f>
        <v>3130269</v>
      </c>
      <c r="J33" s="109">
        <f t="shared" ref="J33" si="39">SUM(J34:J40)</f>
        <v>5500807</v>
      </c>
      <c r="K33" s="109"/>
      <c r="L33" s="948">
        <f t="shared" si="19"/>
        <v>0.28675808580858086</v>
      </c>
      <c r="M33" s="948">
        <f t="shared" si="20"/>
        <v>0.54724982517482512</v>
      </c>
      <c r="N33" s="948">
        <f t="shared" si="21"/>
        <v>0.98053600713012479</v>
      </c>
      <c r="O33" s="109"/>
      <c r="P33" s="112">
        <f t="shared" si="23"/>
        <v>-340000</v>
      </c>
      <c r="Q33" s="112">
        <f t="shared" si="24"/>
        <v>-110000</v>
      </c>
      <c r="R33" s="112">
        <f t="shared" si="25"/>
        <v>-88000</v>
      </c>
      <c r="S33" s="112">
        <f t="shared" si="26"/>
        <v>-538000</v>
      </c>
      <c r="T33" s="1007">
        <f t="shared" si="35"/>
        <v>-8.8778877887788779E-2</v>
      </c>
      <c r="U33" s="1006"/>
      <c r="V33" s="906">
        <f t="shared" si="18"/>
        <v>0</v>
      </c>
      <c r="W33" s="1008"/>
      <c r="X33" s="1008"/>
      <c r="Y33" s="1008"/>
      <c r="Z33" s="1008"/>
    </row>
    <row r="34" spans="1:26" ht="12.75" customHeight="1" x14ac:dyDescent="0.25">
      <c r="A34" s="10" t="s">
        <v>34</v>
      </c>
      <c r="B34" s="14" t="s">
        <v>36</v>
      </c>
      <c r="C34" s="106">
        <v>60000</v>
      </c>
      <c r="D34" s="106">
        <v>140000</v>
      </c>
      <c r="E34" s="106">
        <v>140000</v>
      </c>
      <c r="F34" s="106">
        <v>170000</v>
      </c>
      <c r="G34" s="106"/>
      <c r="H34" s="106">
        <v>77398</v>
      </c>
      <c r="I34" s="106">
        <v>120378</v>
      </c>
      <c r="J34" s="106">
        <v>149057</v>
      </c>
      <c r="K34" s="106"/>
      <c r="L34" s="958">
        <f t="shared" si="19"/>
        <v>1.2899666666666667</v>
      </c>
      <c r="M34" s="958">
        <f t="shared" si="20"/>
        <v>0.85984285714285713</v>
      </c>
      <c r="N34" s="958">
        <f t="shared" si="21"/>
        <v>1.0646928571428571</v>
      </c>
      <c r="O34" s="106"/>
      <c r="P34" s="38">
        <f t="shared" si="23"/>
        <v>80000</v>
      </c>
      <c r="Q34" s="38">
        <f t="shared" si="24"/>
        <v>0</v>
      </c>
      <c r="R34" s="38">
        <f t="shared" si="25"/>
        <v>30000</v>
      </c>
      <c r="S34" s="38">
        <f t="shared" si="26"/>
        <v>110000</v>
      </c>
      <c r="T34" s="1007">
        <f t="shared" si="35"/>
        <v>1.8333333333333333</v>
      </c>
      <c r="U34" s="1006"/>
      <c r="V34" s="906">
        <f t="shared" si="18"/>
        <v>0</v>
      </c>
      <c r="W34" s="486"/>
      <c r="X34" s="486"/>
      <c r="Y34" s="486"/>
      <c r="Z34" s="486"/>
    </row>
    <row r="35" spans="1:26" ht="12.75" customHeight="1" x14ac:dyDescent="0.25">
      <c r="A35" s="10"/>
      <c r="B35" s="14" t="s">
        <v>90</v>
      </c>
      <c r="C35" s="106"/>
      <c r="D35" s="106"/>
      <c r="E35" s="106"/>
      <c r="F35" s="106"/>
      <c r="G35" s="106"/>
      <c r="H35" s="106"/>
      <c r="I35" s="106"/>
      <c r="J35" s="106"/>
      <c r="K35" s="106"/>
      <c r="L35" s="958">
        <f t="shared" si="19"/>
        <v>0</v>
      </c>
      <c r="M35" s="958">
        <f t="shared" si="20"/>
        <v>0</v>
      </c>
      <c r="N35" s="958">
        <f t="shared" si="21"/>
        <v>0</v>
      </c>
      <c r="O35" s="106"/>
      <c r="P35" s="38">
        <f t="shared" si="23"/>
        <v>0</v>
      </c>
      <c r="Q35" s="38">
        <f t="shared" si="24"/>
        <v>0</v>
      </c>
      <c r="R35" s="38">
        <f t="shared" si="25"/>
        <v>0</v>
      </c>
      <c r="S35" s="38">
        <f t="shared" si="26"/>
        <v>0</v>
      </c>
      <c r="T35" s="1007">
        <f t="shared" ref="T35:T47" si="40">IF(C35=0,0,+S35/C35)</f>
        <v>0</v>
      </c>
      <c r="U35" s="1006"/>
      <c r="V35" s="906">
        <f t="shared" si="18"/>
        <v>0</v>
      </c>
      <c r="W35" s="486"/>
      <c r="X35" s="486"/>
      <c r="Y35" s="486"/>
      <c r="Z35" s="486"/>
    </row>
    <row r="36" spans="1:26" ht="12.75" customHeight="1" x14ac:dyDescent="0.25">
      <c r="A36" s="10" t="s">
        <v>35</v>
      </c>
      <c r="B36" s="14" t="s">
        <v>37</v>
      </c>
      <c r="C36" s="106">
        <v>6000000</v>
      </c>
      <c r="D36" s="106">
        <v>5580000</v>
      </c>
      <c r="E36" s="106">
        <v>5470000</v>
      </c>
      <c r="F36" s="106">
        <v>5352000</v>
      </c>
      <c r="G36" s="106"/>
      <c r="H36" s="106">
        <v>1660356</v>
      </c>
      <c r="I36" s="106">
        <v>3009891</v>
      </c>
      <c r="J36" s="106">
        <v>5351750</v>
      </c>
      <c r="K36" s="106"/>
      <c r="L36" s="958">
        <f t="shared" si="19"/>
        <v>0.27672600000000003</v>
      </c>
      <c r="M36" s="958">
        <f t="shared" si="20"/>
        <v>0.53940698924731179</v>
      </c>
      <c r="N36" s="958">
        <f t="shared" si="21"/>
        <v>0.978382084095064</v>
      </c>
      <c r="O36" s="106"/>
      <c r="P36" s="38">
        <f t="shared" si="23"/>
        <v>-420000</v>
      </c>
      <c r="Q36" s="38">
        <f t="shared" si="24"/>
        <v>-110000</v>
      </c>
      <c r="R36" s="38">
        <f t="shared" si="25"/>
        <v>-118000</v>
      </c>
      <c r="S36" s="38">
        <f t="shared" si="26"/>
        <v>-648000</v>
      </c>
      <c r="T36" s="1007">
        <f t="shared" si="40"/>
        <v>-0.108</v>
      </c>
      <c r="U36" s="1006"/>
      <c r="V36" s="906">
        <f t="shared" si="18"/>
        <v>0</v>
      </c>
      <c r="W36" s="486"/>
      <c r="X36" s="486"/>
      <c r="Y36" s="486"/>
      <c r="Z36" s="486"/>
    </row>
    <row r="37" spans="1:26" ht="12.75" customHeight="1" x14ac:dyDescent="0.25">
      <c r="A37" s="10"/>
      <c r="B37" s="14" t="s">
        <v>106</v>
      </c>
      <c r="C37" s="106"/>
      <c r="D37" s="106"/>
      <c r="E37" s="106"/>
      <c r="F37" s="106"/>
      <c r="G37" s="106"/>
      <c r="H37" s="106">
        <v>0</v>
      </c>
      <c r="I37" s="106"/>
      <c r="J37" s="106"/>
      <c r="K37" s="106"/>
      <c r="L37" s="958">
        <f t="shared" si="19"/>
        <v>0</v>
      </c>
      <c r="M37" s="958">
        <f t="shared" si="20"/>
        <v>0</v>
      </c>
      <c r="N37" s="958">
        <f t="shared" si="21"/>
        <v>0</v>
      </c>
      <c r="O37" s="106"/>
      <c r="P37" s="38">
        <f t="shared" si="23"/>
        <v>0</v>
      </c>
      <c r="Q37" s="38">
        <f t="shared" si="24"/>
        <v>0</v>
      </c>
      <c r="R37" s="38">
        <f t="shared" si="25"/>
        <v>0</v>
      </c>
      <c r="S37" s="38">
        <f t="shared" si="26"/>
        <v>0</v>
      </c>
      <c r="T37" s="1007">
        <f t="shared" si="40"/>
        <v>0</v>
      </c>
      <c r="U37" s="1006"/>
      <c r="V37" s="906">
        <f t="shared" si="18"/>
        <v>0</v>
      </c>
      <c r="W37" s="486"/>
      <c r="X37" s="486"/>
      <c r="Y37" s="486"/>
      <c r="Z37" s="486"/>
    </row>
    <row r="38" spans="1:26" ht="12.75" customHeight="1" x14ac:dyDescent="0.25">
      <c r="A38" s="10"/>
      <c r="B38" s="14" t="s">
        <v>96</v>
      </c>
      <c r="C38" s="106"/>
      <c r="D38" s="106"/>
      <c r="E38" s="106"/>
      <c r="F38" s="106"/>
      <c r="G38" s="106"/>
      <c r="H38" s="106"/>
      <c r="I38" s="106"/>
      <c r="J38" s="106"/>
      <c r="K38" s="106"/>
      <c r="L38" s="958">
        <f t="shared" si="19"/>
        <v>0</v>
      </c>
      <c r="M38" s="958">
        <f t="shared" si="20"/>
        <v>0</v>
      </c>
      <c r="N38" s="958">
        <f t="shared" si="21"/>
        <v>0</v>
      </c>
      <c r="O38" s="106"/>
      <c r="P38" s="38">
        <f t="shared" si="23"/>
        <v>0</v>
      </c>
      <c r="Q38" s="38">
        <f t="shared" si="24"/>
        <v>0</v>
      </c>
      <c r="R38" s="38">
        <f t="shared" si="25"/>
        <v>0</v>
      </c>
      <c r="S38" s="38">
        <f t="shared" si="26"/>
        <v>0</v>
      </c>
      <c r="T38" s="1007">
        <f t="shared" si="40"/>
        <v>0</v>
      </c>
      <c r="U38" s="1006"/>
      <c r="V38" s="906">
        <f t="shared" si="18"/>
        <v>0</v>
      </c>
      <c r="W38" s="486"/>
      <c r="X38" s="486"/>
      <c r="Y38" s="486"/>
      <c r="Z38" s="486"/>
    </row>
    <row r="39" spans="1:26" ht="12.75" customHeight="1" x14ac:dyDescent="0.25">
      <c r="A39" s="10"/>
      <c r="B39" s="14" t="s">
        <v>95</v>
      </c>
      <c r="C39" s="106"/>
      <c r="D39" s="106"/>
      <c r="E39" s="106"/>
      <c r="F39" s="106"/>
      <c r="G39" s="106"/>
      <c r="H39" s="106"/>
      <c r="I39" s="106"/>
      <c r="J39" s="106"/>
      <c r="K39" s="106"/>
      <c r="L39" s="958">
        <f t="shared" si="19"/>
        <v>0</v>
      </c>
      <c r="M39" s="958">
        <f t="shared" si="20"/>
        <v>0</v>
      </c>
      <c r="N39" s="958">
        <f t="shared" si="21"/>
        <v>0</v>
      </c>
      <c r="O39" s="106"/>
      <c r="P39" s="38">
        <f t="shared" si="23"/>
        <v>0</v>
      </c>
      <c r="Q39" s="38">
        <f t="shared" si="24"/>
        <v>0</v>
      </c>
      <c r="R39" s="38">
        <f t="shared" si="25"/>
        <v>0</v>
      </c>
      <c r="S39" s="38">
        <f t="shared" si="26"/>
        <v>0</v>
      </c>
      <c r="T39" s="1007">
        <f t="shared" si="40"/>
        <v>0</v>
      </c>
      <c r="U39" s="1006"/>
      <c r="V39" s="906">
        <f t="shared" si="18"/>
        <v>0</v>
      </c>
      <c r="W39" s="486"/>
      <c r="X39" s="486"/>
      <c r="Y39" s="486"/>
      <c r="Z39" s="486"/>
    </row>
    <row r="40" spans="1:26" ht="12.75" customHeight="1" x14ac:dyDescent="0.25">
      <c r="A40" s="10"/>
      <c r="B40" s="14" t="s">
        <v>94</v>
      </c>
      <c r="C40" s="106"/>
      <c r="D40" s="106"/>
      <c r="E40" s="106"/>
      <c r="F40" s="106"/>
      <c r="G40" s="106"/>
      <c r="H40" s="106"/>
      <c r="I40" s="106"/>
      <c r="J40" s="106"/>
      <c r="K40" s="106"/>
      <c r="L40" s="958">
        <f t="shared" si="19"/>
        <v>0</v>
      </c>
      <c r="M40" s="958">
        <f t="shared" si="20"/>
        <v>0</v>
      </c>
      <c r="N40" s="958">
        <f t="shared" si="21"/>
        <v>0</v>
      </c>
      <c r="O40" s="106"/>
      <c r="P40" s="38">
        <f t="shared" si="23"/>
        <v>0</v>
      </c>
      <c r="Q40" s="38">
        <f t="shared" si="24"/>
        <v>0</v>
      </c>
      <c r="R40" s="38">
        <f t="shared" si="25"/>
        <v>0</v>
      </c>
      <c r="S40" s="38">
        <f t="shared" si="26"/>
        <v>0</v>
      </c>
      <c r="T40" s="1007">
        <f t="shared" si="40"/>
        <v>0</v>
      </c>
      <c r="U40" s="1006"/>
      <c r="V40" s="906">
        <f t="shared" si="18"/>
        <v>0</v>
      </c>
      <c r="W40" s="486"/>
      <c r="X40" s="486"/>
      <c r="Y40" s="486"/>
      <c r="Z40" s="486"/>
    </row>
    <row r="41" spans="1:26" s="26" customFormat="1" ht="12.75" customHeight="1" x14ac:dyDescent="0.25">
      <c r="A41" s="24" t="s">
        <v>38</v>
      </c>
      <c r="B41" s="25" t="s">
        <v>39</v>
      </c>
      <c r="C41" s="109">
        <f>SUM(C42:C47)</f>
        <v>40000</v>
      </c>
      <c r="D41" s="109">
        <f t="shared" ref="D41:J41" si="41">SUM(D42:D47)</f>
        <v>40000</v>
      </c>
      <c r="E41" s="109">
        <f t="shared" si="41"/>
        <v>40000</v>
      </c>
      <c r="F41" s="109">
        <f t="shared" si="41"/>
        <v>40000</v>
      </c>
      <c r="G41" s="109"/>
      <c r="H41" s="109">
        <f t="shared" si="41"/>
        <v>18740</v>
      </c>
      <c r="I41" s="109">
        <f t="shared" si="41"/>
        <v>28261</v>
      </c>
      <c r="J41" s="109">
        <f t="shared" si="41"/>
        <v>38099</v>
      </c>
      <c r="K41" s="109"/>
      <c r="L41" s="958">
        <f t="shared" si="19"/>
        <v>0.46850000000000003</v>
      </c>
      <c r="M41" s="958">
        <f t="shared" si="20"/>
        <v>0.70652499999999996</v>
      </c>
      <c r="N41" s="958">
        <f t="shared" si="21"/>
        <v>0.95247499999999996</v>
      </c>
      <c r="O41" s="109"/>
      <c r="P41" s="109">
        <f t="shared" si="23"/>
        <v>0</v>
      </c>
      <c r="Q41" s="109">
        <f t="shared" si="24"/>
        <v>0</v>
      </c>
      <c r="R41" s="109">
        <f t="shared" si="25"/>
        <v>0</v>
      </c>
      <c r="S41" s="109">
        <f t="shared" si="26"/>
        <v>0</v>
      </c>
      <c r="T41" s="1007">
        <f t="shared" si="40"/>
        <v>0</v>
      </c>
      <c r="U41" s="1006"/>
      <c r="V41" s="906">
        <f t="shared" si="18"/>
        <v>0</v>
      </c>
      <c r="W41" s="1008"/>
      <c r="X41" s="1008"/>
      <c r="Y41" s="1008"/>
      <c r="Z41" s="1008"/>
    </row>
    <row r="42" spans="1:26" ht="12.75" customHeight="1" x14ac:dyDescent="0.25">
      <c r="A42" s="10" t="s">
        <v>40</v>
      </c>
      <c r="B42" s="14" t="s">
        <v>41</v>
      </c>
      <c r="C42" s="106">
        <v>0</v>
      </c>
      <c r="D42" s="106">
        <v>0</v>
      </c>
      <c r="E42" s="106">
        <v>0</v>
      </c>
      <c r="F42" s="106"/>
      <c r="G42" s="106"/>
      <c r="H42" s="106">
        <v>0</v>
      </c>
      <c r="I42" s="106"/>
      <c r="J42" s="106"/>
      <c r="K42" s="106"/>
      <c r="L42" s="958">
        <f t="shared" si="19"/>
        <v>0</v>
      </c>
      <c r="M42" s="958">
        <f t="shared" si="20"/>
        <v>0</v>
      </c>
      <c r="N42" s="958">
        <f t="shared" si="21"/>
        <v>0</v>
      </c>
      <c r="O42" s="106"/>
      <c r="P42" s="38">
        <f t="shared" si="23"/>
        <v>0</v>
      </c>
      <c r="Q42" s="38">
        <f t="shared" si="24"/>
        <v>0</v>
      </c>
      <c r="R42" s="38">
        <f t="shared" si="25"/>
        <v>0</v>
      </c>
      <c r="S42" s="38">
        <f t="shared" si="26"/>
        <v>0</v>
      </c>
      <c r="T42" s="1007">
        <f t="shared" si="40"/>
        <v>0</v>
      </c>
      <c r="U42" s="1006"/>
      <c r="V42" s="906">
        <f t="shared" si="18"/>
        <v>0</v>
      </c>
      <c r="W42" s="486"/>
      <c r="X42" s="486"/>
      <c r="Y42" s="486"/>
      <c r="Z42" s="486"/>
    </row>
    <row r="43" spans="1:26" ht="12.75" customHeight="1" x14ac:dyDescent="0.25">
      <c r="A43" s="10"/>
      <c r="B43" s="14" t="s">
        <v>42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958">
        <f t="shared" si="19"/>
        <v>0</v>
      </c>
      <c r="M43" s="958">
        <f t="shared" si="20"/>
        <v>0</v>
      </c>
      <c r="N43" s="958">
        <f t="shared" si="21"/>
        <v>0</v>
      </c>
      <c r="O43" s="106"/>
      <c r="P43" s="38">
        <f t="shared" si="23"/>
        <v>0</v>
      </c>
      <c r="Q43" s="38">
        <f t="shared" si="24"/>
        <v>0</v>
      </c>
      <c r="R43" s="38">
        <f t="shared" si="25"/>
        <v>0</v>
      </c>
      <c r="S43" s="38">
        <f t="shared" si="26"/>
        <v>0</v>
      </c>
      <c r="T43" s="1007">
        <f t="shared" si="40"/>
        <v>0</v>
      </c>
      <c r="U43" s="1006"/>
      <c r="V43" s="906">
        <f t="shared" si="18"/>
        <v>0</v>
      </c>
      <c r="W43" s="486"/>
      <c r="X43" s="486"/>
      <c r="Y43" s="486"/>
      <c r="Z43" s="486"/>
    </row>
    <row r="44" spans="1:26" ht="12.75" customHeight="1" x14ac:dyDescent="0.25">
      <c r="A44" s="10"/>
      <c r="B44" s="14" t="s">
        <v>43</v>
      </c>
      <c r="C44" s="106"/>
      <c r="D44" s="106"/>
      <c r="E44" s="106"/>
      <c r="F44" s="106"/>
      <c r="G44" s="106"/>
      <c r="H44" s="106"/>
      <c r="I44" s="106"/>
      <c r="J44" s="106"/>
      <c r="K44" s="106"/>
      <c r="L44" s="958">
        <f t="shared" si="19"/>
        <v>0</v>
      </c>
      <c r="M44" s="958">
        <f t="shared" si="20"/>
        <v>0</v>
      </c>
      <c r="N44" s="958">
        <f t="shared" si="21"/>
        <v>0</v>
      </c>
      <c r="O44" s="106"/>
      <c r="P44" s="38">
        <f t="shared" si="23"/>
        <v>0</v>
      </c>
      <c r="Q44" s="38">
        <f t="shared" si="24"/>
        <v>0</v>
      </c>
      <c r="R44" s="38">
        <f t="shared" si="25"/>
        <v>0</v>
      </c>
      <c r="S44" s="38">
        <f t="shared" si="26"/>
        <v>0</v>
      </c>
      <c r="T44" s="1007">
        <f t="shared" si="40"/>
        <v>0</v>
      </c>
      <c r="U44" s="1006"/>
      <c r="V44" s="906">
        <f t="shared" si="18"/>
        <v>0</v>
      </c>
      <c r="W44" s="486"/>
      <c r="X44" s="486"/>
      <c r="Y44" s="486"/>
      <c r="Z44" s="486"/>
    </row>
    <row r="45" spans="1:26" ht="12.75" customHeight="1" x14ac:dyDescent="0.25">
      <c r="A45" s="10"/>
      <c r="B45" s="14" t="s">
        <v>44</v>
      </c>
      <c r="C45" s="106"/>
      <c r="D45" s="106"/>
      <c r="E45" s="106"/>
      <c r="F45" s="106"/>
      <c r="G45" s="106"/>
      <c r="H45" s="106"/>
      <c r="I45" s="106"/>
      <c r="J45" s="106"/>
      <c r="K45" s="106"/>
      <c r="L45" s="958">
        <f t="shared" si="19"/>
        <v>0</v>
      </c>
      <c r="M45" s="958">
        <f t="shared" si="20"/>
        <v>0</v>
      </c>
      <c r="N45" s="958">
        <f t="shared" si="21"/>
        <v>0</v>
      </c>
      <c r="O45" s="106"/>
      <c r="P45" s="38">
        <f t="shared" si="23"/>
        <v>0</v>
      </c>
      <c r="Q45" s="38">
        <f t="shared" si="24"/>
        <v>0</v>
      </c>
      <c r="R45" s="38">
        <f t="shared" si="25"/>
        <v>0</v>
      </c>
      <c r="S45" s="38">
        <f t="shared" si="26"/>
        <v>0</v>
      </c>
      <c r="T45" s="1007">
        <f t="shared" si="40"/>
        <v>0</v>
      </c>
      <c r="U45" s="1006"/>
      <c r="V45" s="906">
        <f t="shared" si="18"/>
        <v>0</v>
      </c>
      <c r="W45" s="486"/>
      <c r="X45" s="486"/>
      <c r="Y45" s="486"/>
      <c r="Z45" s="486"/>
    </row>
    <row r="46" spans="1:26" ht="12.75" customHeight="1" x14ac:dyDescent="0.25">
      <c r="A46" s="10" t="s">
        <v>45</v>
      </c>
      <c r="B46" s="14" t="s">
        <v>46</v>
      </c>
      <c r="C46" s="106">
        <v>40000</v>
      </c>
      <c r="D46" s="106">
        <v>40000</v>
      </c>
      <c r="E46" s="106">
        <v>40000</v>
      </c>
      <c r="F46" s="106">
        <v>40000</v>
      </c>
      <c r="G46" s="106"/>
      <c r="H46" s="106">
        <v>18740</v>
      </c>
      <c r="I46" s="106">
        <v>28261</v>
      </c>
      <c r="J46" s="106">
        <v>38099</v>
      </c>
      <c r="K46" s="106"/>
      <c r="L46" s="958">
        <f t="shared" si="19"/>
        <v>0.46850000000000003</v>
      </c>
      <c r="M46" s="958">
        <f t="shared" si="20"/>
        <v>0.70652499999999996</v>
      </c>
      <c r="N46" s="958">
        <f t="shared" si="21"/>
        <v>0.95247499999999996</v>
      </c>
      <c r="O46" s="106"/>
      <c r="P46" s="38">
        <f t="shared" si="23"/>
        <v>0</v>
      </c>
      <c r="Q46" s="38">
        <f t="shared" si="24"/>
        <v>0</v>
      </c>
      <c r="R46" s="38">
        <f t="shared" si="25"/>
        <v>0</v>
      </c>
      <c r="S46" s="38">
        <f t="shared" si="26"/>
        <v>0</v>
      </c>
      <c r="T46" s="1007">
        <f t="shared" si="40"/>
        <v>0</v>
      </c>
      <c r="U46" s="1006"/>
      <c r="V46" s="906">
        <f t="shared" si="18"/>
        <v>0</v>
      </c>
      <c r="W46" s="486"/>
      <c r="X46" s="486"/>
      <c r="Y46" s="486"/>
      <c r="Z46" s="486"/>
    </row>
    <row r="47" spans="1:26" ht="12.75" customHeight="1" x14ac:dyDescent="0.25">
      <c r="A47" s="10"/>
      <c r="B47" s="14" t="s">
        <v>47</v>
      </c>
      <c r="C47" s="106"/>
      <c r="D47" s="106">
        <v>0</v>
      </c>
      <c r="E47" s="106">
        <v>0</v>
      </c>
      <c r="F47" s="106"/>
      <c r="G47" s="106"/>
      <c r="H47" s="106"/>
      <c r="I47" s="106"/>
      <c r="J47" s="106"/>
      <c r="K47" s="106"/>
      <c r="L47" s="958">
        <f t="shared" si="19"/>
        <v>0</v>
      </c>
      <c r="M47" s="958">
        <f t="shared" si="20"/>
        <v>0</v>
      </c>
      <c r="N47" s="958">
        <f t="shared" si="21"/>
        <v>0</v>
      </c>
      <c r="O47" s="106"/>
      <c r="P47" s="38">
        <f t="shared" si="23"/>
        <v>0</v>
      </c>
      <c r="Q47" s="38">
        <f t="shared" si="24"/>
        <v>0</v>
      </c>
      <c r="R47" s="38">
        <f t="shared" si="25"/>
        <v>0</v>
      </c>
      <c r="S47" s="38">
        <f t="shared" si="26"/>
        <v>0</v>
      </c>
      <c r="T47" s="1007">
        <f t="shared" si="40"/>
        <v>0</v>
      </c>
      <c r="U47" s="1006"/>
      <c r="V47" s="906">
        <f t="shared" si="18"/>
        <v>0</v>
      </c>
      <c r="W47" s="486"/>
      <c r="X47" s="486"/>
      <c r="Y47" s="486"/>
      <c r="Z47" s="486"/>
    </row>
    <row r="48" spans="1:26" s="26" customFormat="1" ht="12.75" customHeight="1" x14ac:dyDescent="0.25">
      <c r="A48" s="24" t="s">
        <v>48</v>
      </c>
      <c r="B48" s="25" t="s">
        <v>49</v>
      </c>
      <c r="C48" s="109">
        <f>SUM(C49:C65)</f>
        <v>2592000</v>
      </c>
      <c r="D48" s="109">
        <f t="shared" ref="D48:F48" si="42">SUM(D49:D65)</f>
        <v>2902000</v>
      </c>
      <c r="E48" s="109">
        <f t="shared" si="42"/>
        <v>2902000</v>
      </c>
      <c r="F48" s="109">
        <f t="shared" si="42"/>
        <v>2158000</v>
      </c>
      <c r="G48" s="109"/>
      <c r="H48" s="109">
        <f>SUM(H49:H65)</f>
        <v>1276249</v>
      </c>
      <c r="I48" s="109">
        <f t="shared" ref="I48:J48" si="43">SUM(I49:I65)</f>
        <v>1657091</v>
      </c>
      <c r="J48" s="109">
        <f t="shared" si="43"/>
        <v>2081644</v>
      </c>
      <c r="K48" s="109"/>
      <c r="L48" s="999">
        <f t="shared" si="19"/>
        <v>0.49238001543209875</v>
      </c>
      <c r="M48" s="999">
        <f t="shared" si="20"/>
        <v>0.57101688490696068</v>
      </c>
      <c r="N48" s="999">
        <f t="shared" si="21"/>
        <v>0.71731357684355612</v>
      </c>
      <c r="O48" s="109"/>
      <c r="P48" s="109">
        <f t="shared" si="23"/>
        <v>310000</v>
      </c>
      <c r="Q48" s="109">
        <f t="shared" si="24"/>
        <v>0</v>
      </c>
      <c r="R48" s="109">
        <f t="shared" si="25"/>
        <v>-744000</v>
      </c>
      <c r="S48" s="109">
        <f t="shared" si="26"/>
        <v>-434000</v>
      </c>
      <c r="T48" s="1007">
        <f t="shared" ref="T48:T49" si="44">IF(C48=0,0,+S48/C48)</f>
        <v>-0.16743827160493827</v>
      </c>
      <c r="U48" s="1006"/>
      <c r="V48" s="906">
        <f t="shared" si="18"/>
        <v>0</v>
      </c>
      <c r="W48" s="1008"/>
      <c r="X48" s="1008"/>
      <c r="Y48" s="1008"/>
      <c r="Z48" s="1008"/>
    </row>
    <row r="49" spans="1:26" ht="12.75" customHeight="1" x14ac:dyDescent="0.25">
      <c r="A49" s="10" t="s">
        <v>50</v>
      </c>
      <c r="B49" s="14" t="s">
        <v>51</v>
      </c>
      <c r="C49" s="106">
        <v>1400000</v>
      </c>
      <c r="D49" s="106">
        <v>1400000</v>
      </c>
      <c r="E49" s="106">
        <v>1400000</v>
      </c>
      <c r="F49" s="106">
        <v>1015000</v>
      </c>
      <c r="G49" s="106"/>
      <c r="H49" s="106">
        <v>542087</v>
      </c>
      <c r="I49" s="106">
        <v>765598</v>
      </c>
      <c r="J49" s="106">
        <v>948097</v>
      </c>
      <c r="K49" s="106"/>
      <c r="L49" s="958">
        <f t="shared" si="19"/>
        <v>0.38720500000000002</v>
      </c>
      <c r="M49" s="958">
        <f t="shared" si="20"/>
        <v>0.54685571428571433</v>
      </c>
      <c r="N49" s="958">
        <f t="shared" si="21"/>
        <v>0.67721214285714282</v>
      </c>
      <c r="O49" s="106"/>
      <c r="P49" s="38">
        <f t="shared" si="23"/>
        <v>0</v>
      </c>
      <c r="Q49" s="38">
        <f t="shared" si="24"/>
        <v>0</v>
      </c>
      <c r="R49" s="38">
        <f t="shared" si="25"/>
        <v>-385000</v>
      </c>
      <c r="S49" s="38">
        <f t="shared" si="26"/>
        <v>-385000</v>
      </c>
      <c r="T49" s="1007">
        <f t="shared" si="44"/>
        <v>-0.27500000000000002</v>
      </c>
      <c r="U49" s="1006"/>
      <c r="V49" s="906">
        <f t="shared" si="18"/>
        <v>0</v>
      </c>
      <c r="W49" s="486"/>
      <c r="X49" s="486"/>
      <c r="Y49" s="486"/>
      <c r="Z49" s="486"/>
    </row>
    <row r="50" spans="1:26" ht="12.75" customHeight="1" x14ac:dyDescent="0.25">
      <c r="A50" s="10" t="s">
        <v>104</v>
      </c>
      <c r="B50" s="14" t="s">
        <v>98</v>
      </c>
      <c r="C50" s="106"/>
      <c r="D50" s="106"/>
      <c r="E50" s="106"/>
      <c r="F50" s="106"/>
      <c r="G50" s="106"/>
      <c r="H50" s="106"/>
      <c r="I50" s="106"/>
      <c r="J50" s="106"/>
      <c r="K50" s="106"/>
      <c r="L50" s="958">
        <f t="shared" si="19"/>
        <v>0</v>
      </c>
      <c r="M50" s="958">
        <f t="shared" si="20"/>
        <v>0</v>
      </c>
      <c r="N50" s="958">
        <f t="shared" si="21"/>
        <v>0</v>
      </c>
      <c r="O50" s="106"/>
      <c r="P50" s="38">
        <f t="shared" si="23"/>
        <v>0</v>
      </c>
      <c r="Q50" s="38">
        <f t="shared" si="24"/>
        <v>0</v>
      </c>
      <c r="R50" s="38">
        <f t="shared" si="25"/>
        <v>0</v>
      </c>
      <c r="S50" s="38">
        <f t="shared" si="26"/>
        <v>0</v>
      </c>
      <c r="T50" s="1007">
        <f t="shared" ref="T50:T61" si="45">IF(C50=0,0,+S50/C50)</f>
        <v>0</v>
      </c>
      <c r="U50" s="1006"/>
      <c r="V50" s="906">
        <f t="shared" si="18"/>
        <v>0</v>
      </c>
      <c r="W50" s="486"/>
      <c r="X50" s="486"/>
      <c r="Y50" s="486"/>
      <c r="Z50" s="486"/>
    </row>
    <row r="51" spans="1:26" ht="12.75" customHeight="1" x14ac:dyDescent="0.25">
      <c r="A51" s="10"/>
      <c r="B51" s="14" t="s">
        <v>99</v>
      </c>
      <c r="C51" s="106"/>
      <c r="D51" s="106"/>
      <c r="E51" s="106"/>
      <c r="F51" s="106"/>
      <c r="G51" s="106"/>
      <c r="H51" s="106"/>
      <c r="I51" s="106"/>
      <c r="J51" s="106"/>
      <c r="K51" s="106"/>
      <c r="L51" s="958">
        <f t="shared" si="19"/>
        <v>0</v>
      </c>
      <c r="M51" s="958">
        <f t="shared" si="20"/>
        <v>0</v>
      </c>
      <c r="N51" s="958">
        <f t="shared" si="21"/>
        <v>0</v>
      </c>
      <c r="O51" s="106"/>
      <c r="P51" s="38">
        <f t="shared" si="23"/>
        <v>0</v>
      </c>
      <c r="Q51" s="38">
        <f t="shared" si="24"/>
        <v>0</v>
      </c>
      <c r="R51" s="38">
        <f t="shared" si="25"/>
        <v>0</v>
      </c>
      <c r="S51" s="38">
        <f t="shared" si="26"/>
        <v>0</v>
      </c>
      <c r="T51" s="1007">
        <f t="shared" si="45"/>
        <v>0</v>
      </c>
      <c r="U51" s="1006"/>
      <c r="V51" s="906">
        <f t="shared" si="18"/>
        <v>0</v>
      </c>
      <c r="W51" s="486"/>
      <c r="X51" s="486"/>
      <c r="Y51" s="486"/>
      <c r="Z51" s="486"/>
    </row>
    <row r="52" spans="1:26" ht="12.75" customHeight="1" x14ac:dyDescent="0.25">
      <c r="A52" s="10"/>
      <c r="B52" s="14" t="s">
        <v>100</v>
      </c>
      <c r="C52" s="106"/>
      <c r="D52" s="106"/>
      <c r="E52" s="106"/>
      <c r="F52" s="106"/>
      <c r="G52" s="106"/>
      <c r="H52" s="106"/>
      <c r="I52" s="106"/>
      <c r="J52" s="106"/>
      <c r="K52" s="106"/>
      <c r="L52" s="958">
        <f t="shared" si="19"/>
        <v>0</v>
      </c>
      <c r="M52" s="958">
        <f t="shared" si="20"/>
        <v>0</v>
      </c>
      <c r="N52" s="958">
        <f t="shared" si="21"/>
        <v>0</v>
      </c>
      <c r="O52" s="106"/>
      <c r="P52" s="38">
        <f t="shared" si="23"/>
        <v>0</v>
      </c>
      <c r="Q52" s="38">
        <f t="shared" si="24"/>
        <v>0</v>
      </c>
      <c r="R52" s="38">
        <f t="shared" si="25"/>
        <v>0</v>
      </c>
      <c r="S52" s="38">
        <f t="shared" si="26"/>
        <v>0</v>
      </c>
      <c r="T52" s="1007">
        <f t="shared" si="45"/>
        <v>0</v>
      </c>
      <c r="U52" s="1006"/>
      <c r="V52" s="906">
        <f t="shared" si="18"/>
        <v>0</v>
      </c>
      <c r="W52" s="486"/>
      <c r="X52" s="486"/>
      <c r="Y52" s="486"/>
      <c r="Z52" s="486"/>
    </row>
    <row r="53" spans="1:26" ht="12.75" customHeight="1" x14ac:dyDescent="0.25">
      <c r="A53" s="10" t="s">
        <v>52</v>
      </c>
      <c r="B53" s="14" t="s">
        <v>53</v>
      </c>
      <c r="C53" s="106">
        <v>0</v>
      </c>
      <c r="D53" s="106">
        <v>0</v>
      </c>
      <c r="E53" s="106">
        <v>0</v>
      </c>
      <c r="F53" s="106">
        <v>0</v>
      </c>
      <c r="G53" s="106"/>
      <c r="H53" s="106">
        <v>0</v>
      </c>
      <c r="I53" s="106">
        <f>+H53</f>
        <v>0</v>
      </c>
      <c r="J53" s="106">
        <v>0</v>
      </c>
      <c r="K53" s="106"/>
      <c r="L53" s="958">
        <f t="shared" si="19"/>
        <v>0</v>
      </c>
      <c r="M53" s="958">
        <f t="shared" si="20"/>
        <v>0</v>
      </c>
      <c r="N53" s="958">
        <f t="shared" si="21"/>
        <v>0</v>
      </c>
      <c r="O53" s="106"/>
      <c r="P53" s="38">
        <f t="shared" si="23"/>
        <v>0</v>
      </c>
      <c r="Q53" s="38">
        <f t="shared" si="24"/>
        <v>0</v>
      </c>
      <c r="R53" s="38">
        <f t="shared" si="25"/>
        <v>0</v>
      </c>
      <c r="S53" s="38">
        <f t="shared" si="26"/>
        <v>0</v>
      </c>
      <c r="T53" s="1007">
        <f t="shared" si="45"/>
        <v>0</v>
      </c>
      <c r="U53" s="1006"/>
      <c r="V53" s="906">
        <f t="shared" si="18"/>
        <v>0</v>
      </c>
      <c r="W53" s="486"/>
      <c r="X53" s="486"/>
      <c r="Y53" s="486"/>
      <c r="Z53" s="486"/>
    </row>
    <row r="54" spans="1:26" ht="12.75" customHeight="1" x14ac:dyDescent="0.25">
      <c r="A54" s="10"/>
      <c r="B54" s="14" t="s">
        <v>91</v>
      </c>
      <c r="C54" s="106"/>
      <c r="D54" s="106"/>
      <c r="E54" s="106"/>
      <c r="F54" s="106"/>
      <c r="G54" s="106"/>
      <c r="H54" s="106"/>
      <c r="I54" s="106"/>
      <c r="J54" s="106"/>
      <c r="K54" s="106"/>
      <c r="L54" s="958">
        <f t="shared" si="19"/>
        <v>0</v>
      </c>
      <c r="M54" s="958">
        <f t="shared" si="20"/>
        <v>0</v>
      </c>
      <c r="N54" s="958">
        <f t="shared" si="21"/>
        <v>0</v>
      </c>
      <c r="O54" s="106"/>
      <c r="P54" s="38">
        <f t="shared" si="23"/>
        <v>0</v>
      </c>
      <c r="Q54" s="38">
        <f t="shared" si="24"/>
        <v>0</v>
      </c>
      <c r="R54" s="38">
        <f t="shared" si="25"/>
        <v>0</v>
      </c>
      <c r="S54" s="38">
        <f t="shared" si="26"/>
        <v>0</v>
      </c>
      <c r="T54" s="1007">
        <f t="shared" si="45"/>
        <v>0</v>
      </c>
      <c r="U54" s="1006"/>
      <c r="V54" s="906">
        <f t="shared" si="18"/>
        <v>0</v>
      </c>
      <c r="W54" s="486"/>
      <c r="X54" s="486"/>
      <c r="Y54" s="486"/>
      <c r="Z54" s="486"/>
    </row>
    <row r="55" spans="1:26" ht="12.75" customHeight="1" x14ac:dyDescent="0.25">
      <c r="A55" s="10"/>
      <c r="B55" s="14" t="s">
        <v>54</v>
      </c>
      <c r="C55" s="106"/>
      <c r="D55" s="106"/>
      <c r="E55" s="106"/>
      <c r="F55" s="106"/>
      <c r="G55" s="106"/>
      <c r="H55" s="106"/>
      <c r="I55" s="106"/>
      <c r="J55" s="106"/>
      <c r="K55" s="106"/>
      <c r="L55" s="958">
        <f t="shared" si="19"/>
        <v>0</v>
      </c>
      <c r="M55" s="958">
        <f t="shared" si="20"/>
        <v>0</v>
      </c>
      <c r="N55" s="958">
        <f t="shared" si="21"/>
        <v>0</v>
      </c>
      <c r="O55" s="106"/>
      <c r="P55" s="38">
        <f t="shared" si="23"/>
        <v>0</v>
      </c>
      <c r="Q55" s="38">
        <f t="shared" si="24"/>
        <v>0</v>
      </c>
      <c r="R55" s="38">
        <f t="shared" si="25"/>
        <v>0</v>
      </c>
      <c r="S55" s="38">
        <f t="shared" si="26"/>
        <v>0</v>
      </c>
      <c r="T55" s="1007">
        <f t="shared" si="45"/>
        <v>0</v>
      </c>
      <c r="U55" s="1006"/>
      <c r="V55" s="906">
        <f t="shared" si="18"/>
        <v>0</v>
      </c>
      <c r="W55" s="486"/>
      <c r="X55" s="486"/>
      <c r="Y55" s="486"/>
      <c r="Z55" s="486"/>
    </row>
    <row r="56" spans="1:26" ht="12.75" customHeight="1" x14ac:dyDescent="0.25">
      <c r="A56" s="10" t="s">
        <v>55</v>
      </c>
      <c r="B56" s="14" t="s">
        <v>56</v>
      </c>
      <c r="C56" s="106">
        <v>0</v>
      </c>
      <c r="D56" s="106">
        <v>0</v>
      </c>
      <c r="E56" s="106">
        <v>0</v>
      </c>
      <c r="F56" s="106">
        <v>0</v>
      </c>
      <c r="G56" s="106"/>
      <c r="H56" s="106">
        <v>0</v>
      </c>
      <c r="I56" s="106">
        <v>0</v>
      </c>
      <c r="J56" s="106">
        <v>0</v>
      </c>
      <c r="K56" s="106"/>
      <c r="L56" s="958">
        <f t="shared" si="19"/>
        <v>0</v>
      </c>
      <c r="M56" s="958">
        <f t="shared" si="20"/>
        <v>0</v>
      </c>
      <c r="N56" s="958">
        <f t="shared" si="21"/>
        <v>0</v>
      </c>
      <c r="O56" s="106"/>
      <c r="P56" s="38">
        <f t="shared" si="23"/>
        <v>0</v>
      </c>
      <c r="Q56" s="38">
        <f t="shared" si="24"/>
        <v>0</v>
      </c>
      <c r="R56" s="38">
        <f t="shared" si="25"/>
        <v>0</v>
      </c>
      <c r="S56" s="38">
        <f t="shared" si="26"/>
        <v>0</v>
      </c>
      <c r="T56" s="1007">
        <f t="shared" si="45"/>
        <v>0</v>
      </c>
      <c r="U56" s="1006"/>
      <c r="V56" s="906">
        <f t="shared" si="18"/>
        <v>0</v>
      </c>
      <c r="W56" s="486"/>
      <c r="X56" s="486"/>
      <c r="Y56" s="486"/>
      <c r="Z56" s="486"/>
    </row>
    <row r="57" spans="1:26" ht="12.75" customHeight="1" x14ac:dyDescent="0.25">
      <c r="A57" s="10"/>
      <c r="B57" s="14" t="s">
        <v>57</v>
      </c>
      <c r="C57" s="106"/>
      <c r="D57" s="106"/>
      <c r="E57" s="106"/>
      <c r="F57" s="106"/>
      <c r="G57" s="106"/>
      <c r="H57" s="106"/>
      <c r="I57" s="106"/>
      <c r="J57" s="106"/>
      <c r="K57" s="106"/>
      <c r="L57" s="958">
        <f t="shared" si="19"/>
        <v>0</v>
      </c>
      <c r="M57" s="958">
        <f t="shared" si="20"/>
        <v>0</v>
      </c>
      <c r="N57" s="958">
        <f t="shared" si="21"/>
        <v>0</v>
      </c>
      <c r="O57" s="106"/>
      <c r="P57" s="38">
        <f t="shared" si="23"/>
        <v>0</v>
      </c>
      <c r="Q57" s="38">
        <f t="shared" si="24"/>
        <v>0</v>
      </c>
      <c r="R57" s="38">
        <f t="shared" si="25"/>
        <v>0</v>
      </c>
      <c r="S57" s="38">
        <f t="shared" si="26"/>
        <v>0</v>
      </c>
      <c r="T57" s="1007">
        <f t="shared" si="45"/>
        <v>0</v>
      </c>
      <c r="U57" s="1006"/>
      <c r="V57" s="906">
        <f t="shared" si="18"/>
        <v>0</v>
      </c>
      <c r="W57" s="486"/>
      <c r="X57" s="486"/>
      <c r="Y57" s="486"/>
      <c r="Z57" s="486"/>
    </row>
    <row r="58" spans="1:26" ht="12.75" customHeight="1" x14ac:dyDescent="0.25">
      <c r="A58" s="10" t="s">
        <v>58</v>
      </c>
      <c r="B58" s="14" t="s">
        <v>92</v>
      </c>
      <c r="C58" s="106">
        <v>132000</v>
      </c>
      <c r="D58" s="106">
        <v>132000</v>
      </c>
      <c r="E58" s="106">
        <v>132000</v>
      </c>
      <c r="F58" s="106">
        <v>0</v>
      </c>
      <c r="G58" s="106"/>
      <c r="H58" s="106">
        <v>0</v>
      </c>
      <c r="I58" s="106">
        <v>0</v>
      </c>
      <c r="J58" s="106">
        <v>0</v>
      </c>
      <c r="K58" s="106"/>
      <c r="L58" s="958">
        <f t="shared" si="19"/>
        <v>0</v>
      </c>
      <c r="M58" s="958">
        <f t="shared" si="20"/>
        <v>0</v>
      </c>
      <c r="N58" s="958">
        <f t="shared" si="21"/>
        <v>0</v>
      </c>
      <c r="O58" s="106"/>
      <c r="P58" s="38">
        <f t="shared" si="23"/>
        <v>0</v>
      </c>
      <c r="Q58" s="38">
        <f t="shared" si="24"/>
        <v>0</v>
      </c>
      <c r="R58" s="38">
        <f t="shared" si="25"/>
        <v>-132000</v>
      </c>
      <c r="S58" s="38">
        <f t="shared" si="26"/>
        <v>-132000</v>
      </c>
      <c r="T58" s="1007">
        <f t="shared" si="45"/>
        <v>-1</v>
      </c>
      <c r="U58" s="1006"/>
      <c r="V58" s="906">
        <f t="shared" si="18"/>
        <v>0</v>
      </c>
      <c r="W58" s="486"/>
      <c r="X58" s="486"/>
      <c r="Y58" s="486"/>
      <c r="Z58" s="486"/>
    </row>
    <row r="59" spans="1:26" ht="12.75" customHeight="1" x14ac:dyDescent="0.25">
      <c r="A59" s="10"/>
      <c r="B59" s="14" t="s">
        <v>59</v>
      </c>
      <c r="C59" s="106"/>
      <c r="D59" s="106"/>
      <c r="E59" s="106"/>
      <c r="F59" s="106"/>
      <c r="G59" s="106"/>
      <c r="H59" s="106"/>
      <c r="I59" s="106"/>
      <c r="J59" s="106"/>
      <c r="K59" s="106"/>
      <c r="L59" s="958">
        <f t="shared" si="19"/>
        <v>0</v>
      </c>
      <c r="M59" s="958">
        <f t="shared" si="20"/>
        <v>0</v>
      </c>
      <c r="N59" s="958">
        <f t="shared" si="21"/>
        <v>0</v>
      </c>
      <c r="O59" s="106"/>
      <c r="P59" s="38">
        <f t="shared" si="23"/>
        <v>0</v>
      </c>
      <c r="Q59" s="38">
        <f t="shared" si="24"/>
        <v>0</v>
      </c>
      <c r="R59" s="38">
        <f t="shared" si="25"/>
        <v>0</v>
      </c>
      <c r="S59" s="38">
        <f t="shared" si="26"/>
        <v>0</v>
      </c>
      <c r="T59" s="1007">
        <f t="shared" si="45"/>
        <v>0</v>
      </c>
      <c r="U59" s="1006"/>
      <c r="V59" s="906">
        <f t="shared" si="18"/>
        <v>0</v>
      </c>
      <c r="W59" s="486"/>
      <c r="X59" s="486"/>
      <c r="Y59" s="486"/>
      <c r="Z59" s="486"/>
    </row>
    <row r="60" spans="1:26" ht="12.75" customHeight="1" x14ac:dyDescent="0.25">
      <c r="A60" s="10" t="s">
        <v>60</v>
      </c>
      <c r="B60" s="14" t="s">
        <v>61</v>
      </c>
      <c r="C60" s="106">
        <v>0</v>
      </c>
      <c r="D60" s="106"/>
      <c r="E60" s="106"/>
      <c r="F60" s="106"/>
      <c r="G60" s="106"/>
      <c r="H60" s="106"/>
      <c r="I60" s="106"/>
      <c r="J60" s="106"/>
      <c r="K60" s="106"/>
      <c r="L60" s="958">
        <f t="shared" si="19"/>
        <v>0</v>
      </c>
      <c r="M60" s="958">
        <f t="shared" si="20"/>
        <v>0</v>
      </c>
      <c r="N60" s="958">
        <f t="shared" si="21"/>
        <v>0</v>
      </c>
      <c r="O60" s="106"/>
      <c r="P60" s="38">
        <f t="shared" si="23"/>
        <v>0</v>
      </c>
      <c r="Q60" s="38">
        <f t="shared" si="24"/>
        <v>0</v>
      </c>
      <c r="R60" s="38">
        <f t="shared" si="25"/>
        <v>0</v>
      </c>
      <c r="S60" s="38">
        <f t="shared" si="26"/>
        <v>0</v>
      </c>
      <c r="T60" s="1007">
        <f t="shared" si="45"/>
        <v>0</v>
      </c>
      <c r="U60" s="1006"/>
      <c r="V60" s="906">
        <f t="shared" si="18"/>
        <v>0</v>
      </c>
      <c r="W60" s="486"/>
      <c r="X60" s="486"/>
      <c r="Y60" s="486"/>
      <c r="Z60" s="486"/>
    </row>
    <row r="61" spans="1:26" ht="23.25" customHeight="1" x14ac:dyDescent="0.25">
      <c r="A61" s="14"/>
      <c r="B61" s="14" t="s">
        <v>62</v>
      </c>
      <c r="C61" s="106"/>
      <c r="D61" s="106"/>
      <c r="E61" s="106"/>
      <c r="F61" s="106"/>
      <c r="G61" s="106"/>
      <c r="H61" s="106"/>
      <c r="I61" s="106"/>
      <c r="J61" s="106"/>
      <c r="K61" s="106"/>
      <c r="L61" s="958">
        <f t="shared" si="19"/>
        <v>0</v>
      </c>
      <c r="M61" s="958">
        <f t="shared" si="20"/>
        <v>0</v>
      </c>
      <c r="N61" s="958">
        <f t="shared" si="21"/>
        <v>0</v>
      </c>
      <c r="O61" s="106"/>
      <c r="P61" s="38">
        <f t="shared" si="23"/>
        <v>0</v>
      </c>
      <c r="Q61" s="38">
        <f t="shared" si="24"/>
        <v>0</v>
      </c>
      <c r="R61" s="38">
        <f t="shared" si="25"/>
        <v>0</v>
      </c>
      <c r="S61" s="38">
        <f t="shared" si="26"/>
        <v>0</v>
      </c>
      <c r="T61" s="1007">
        <f t="shared" si="45"/>
        <v>0</v>
      </c>
      <c r="U61" s="1006"/>
      <c r="V61" s="906">
        <f t="shared" si="18"/>
        <v>0</v>
      </c>
      <c r="W61" s="486"/>
      <c r="X61" s="486"/>
      <c r="Y61" s="486"/>
      <c r="Z61" s="486"/>
    </row>
    <row r="62" spans="1:26" ht="12.75" customHeight="1" x14ac:dyDescent="0.25">
      <c r="A62" s="10" t="s">
        <v>63</v>
      </c>
      <c r="B62" s="14" t="s">
        <v>64</v>
      </c>
      <c r="C62" s="106">
        <v>160000</v>
      </c>
      <c r="D62" s="106">
        <v>470000</v>
      </c>
      <c r="E62" s="106">
        <v>470000</v>
      </c>
      <c r="F62" s="106">
        <v>470000</v>
      </c>
      <c r="G62" s="106"/>
      <c r="H62" s="106">
        <v>468500</v>
      </c>
      <c r="I62" s="106">
        <v>468500</v>
      </c>
      <c r="J62" s="106">
        <v>468500</v>
      </c>
      <c r="K62" s="106"/>
      <c r="L62" s="958">
        <f t="shared" si="19"/>
        <v>2.9281250000000001</v>
      </c>
      <c r="M62" s="958">
        <f t="shared" si="20"/>
        <v>0.9968085106382979</v>
      </c>
      <c r="N62" s="958">
        <f t="shared" si="21"/>
        <v>0.9968085106382979</v>
      </c>
      <c r="O62" s="106"/>
      <c r="P62" s="38">
        <f t="shared" si="23"/>
        <v>310000</v>
      </c>
      <c r="Q62" s="38">
        <f t="shared" si="24"/>
        <v>0</v>
      </c>
      <c r="R62" s="38">
        <f t="shared" si="25"/>
        <v>0</v>
      </c>
      <c r="S62" s="38">
        <f t="shared" si="26"/>
        <v>310000</v>
      </c>
      <c r="T62" s="1007">
        <f t="shared" ref="T62:T70" si="46">IF(C62=0,0,+S62/C62)</f>
        <v>1.9375</v>
      </c>
      <c r="U62" s="1006"/>
      <c r="V62" s="906">
        <f t="shared" si="18"/>
        <v>0</v>
      </c>
      <c r="W62" s="486"/>
      <c r="X62" s="486"/>
      <c r="Y62" s="486"/>
      <c r="Z62" s="486"/>
    </row>
    <row r="63" spans="1:26" ht="61.5" customHeight="1" x14ac:dyDescent="0.25">
      <c r="A63" s="10"/>
      <c r="B63" s="14" t="s">
        <v>103</v>
      </c>
      <c r="C63" s="106"/>
      <c r="D63" s="106"/>
      <c r="E63" s="106"/>
      <c r="F63" s="106"/>
      <c r="G63" s="106"/>
      <c r="H63" s="106"/>
      <c r="I63" s="106"/>
      <c r="J63" s="106"/>
      <c r="K63" s="106"/>
      <c r="L63" s="958">
        <f t="shared" si="19"/>
        <v>0</v>
      </c>
      <c r="M63" s="958">
        <f t="shared" si="20"/>
        <v>0</v>
      </c>
      <c r="N63" s="958">
        <f t="shared" si="21"/>
        <v>0</v>
      </c>
      <c r="O63" s="106"/>
      <c r="P63" s="38">
        <f t="shared" si="23"/>
        <v>0</v>
      </c>
      <c r="Q63" s="38">
        <f t="shared" si="24"/>
        <v>0</v>
      </c>
      <c r="R63" s="38">
        <f t="shared" si="25"/>
        <v>0</v>
      </c>
      <c r="S63" s="38">
        <f t="shared" si="26"/>
        <v>0</v>
      </c>
      <c r="T63" s="1007">
        <f t="shared" si="46"/>
        <v>0</v>
      </c>
      <c r="U63" s="1006"/>
      <c r="V63" s="906">
        <f t="shared" si="18"/>
        <v>0</v>
      </c>
      <c r="W63" s="486"/>
      <c r="X63" s="486"/>
      <c r="Y63" s="486"/>
      <c r="Z63" s="486"/>
    </row>
    <row r="64" spans="1:26" ht="12.75" customHeight="1" x14ac:dyDescent="0.25">
      <c r="A64" s="10" t="s">
        <v>65</v>
      </c>
      <c r="B64" s="14" t="s">
        <v>66</v>
      </c>
      <c r="C64" s="106">
        <v>900000</v>
      </c>
      <c r="D64" s="106">
        <v>900000</v>
      </c>
      <c r="E64" s="106">
        <v>900000</v>
      </c>
      <c r="F64" s="106">
        <v>673000</v>
      </c>
      <c r="G64" s="106"/>
      <c r="H64" s="106">
        <v>265662</v>
      </c>
      <c r="I64" s="106">
        <v>422993</v>
      </c>
      <c r="J64" s="106">
        <v>665047</v>
      </c>
      <c r="K64" s="106"/>
      <c r="L64" s="958">
        <f t="shared" si="19"/>
        <v>0.29518</v>
      </c>
      <c r="M64" s="958">
        <f t="shared" si="20"/>
        <v>0.4699922222222222</v>
      </c>
      <c r="N64" s="958">
        <f t="shared" si="21"/>
        <v>0.73894111111111116</v>
      </c>
      <c r="O64" s="106"/>
      <c r="P64" s="38">
        <f t="shared" si="23"/>
        <v>0</v>
      </c>
      <c r="Q64" s="38">
        <f t="shared" si="24"/>
        <v>0</v>
      </c>
      <c r="R64" s="38">
        <f t="shared" si="25"/>
        <v>-227000</v>
      </c>
      <c r="S64" s="38">
        <f t="shared" si="26"/>
        <v>-227000</v>
      </c>
      <c r="T64" s="1007">
        <f t="shared" si="46"/>
        <v>-0.25222222222222224</v>
      </c>
      <c r="U64" s="1006"/>
      <c r="V64" s="906">
        <f t="shared" si="18"/>
        <v>0</v>
      </c>
      <c r="W64" s="486"/>
      <c r="X64" s="486"/>
      <c r="Y64" s="486"/>
      <c r="Z64" s="486"/>
    </row>
    <row r="65" spans="1:26" ht="54.75" customHeight="1" x14ac:dyDescent="0.25">
      <c r="A65" s="10"/>
      <c r="B65" s="14" t="s">
        <v>67</v>
      </c>
      <c r="C65" s="106">
        <v>0</v>
      </c>
      <c r="D65" s="106"/>
      <c r="E65" s="106"/>
      <c r="F65" s="106"/>
      <c r="G65" s="106"/>
      <c r="H65" s="106"/>
      <c r="I65" s="106"/>
      <c r="J65" s="106"/>
      <c r="K65" s="106"/>
      <c r="L65" s="958">
        <f t="shared" si="19"/>
        <v>0</v>
      </c>
      <c r="M65" s="958">
        <f t="shared" si="20"/>
        <v>0</v>
      </c>
      <c r="N65" s="958">
        <f t="shared" si="21"/>
        <v>0</v>
      </c>
      <c r="O65" s="106"/>
      <c r="P65" s="38">
        <f t="shared" si="23"/>
        <v>0</v>
      </c>
      <c r="Q65" s="38">
        <f t="shared" si="24"/>
        <v>0</v>
      </c>
      <c r="R65" s="38">
        <f t="shared" si="25"/>
        <v>0</v>
      </c>
      <c r="S65" s="38">
        <f t="shared" si="26"/>
        <v>0</v>
      </c>
      <c r="T65" s="1007">
        <f t="shared" si="46"/>
        <v>0</v>
      </c>
      <c r="U65" s="1006"/>
      <c r="V65" s="906">
        <f t="shared" si="18"/>
        <v>0</v>
      </c>
      <c r="W65" s="486"/>
      <c r="X65" s="486"/>
      <c r="Y65" s="486"/>
      <c r="Z65" s="486"/>
    </row>
    <row r="66" spans="1:26" s="26" customFormat="1" ht="12.75" customHeight="1" x14ac:dyDescent="0.25">
      <c r="A66" s="24" t="s">
        <v>68</v>
      </c>
      <c r="B66" s="25" t="s">
        <v>69</v>
      </c>
      <c r="C66" s="109">
        <f>+C67+C69</f>
        <v>10000</v>
      </c>
      <c r="D66" s="109">
        <f>+D67+D69</f>
        <v>10000</v>
      </c>
      <c r="E66" s="109">
        <f>+E67+E69</f>
        <v>10000</v>
      </c>
      <c r="F66" s="109">
        <f>+F67+F69</f>
        <v>10000</v>
      </c>
      <c r="G66" s="109"/>
      <c r="H66" s="109">
        <f>+H67+H69</f>
        <v>2415</v>
      </c>
      <c r="I66" s="109">
        <f t="shared" ref="I66:J66" si="47">+I67+I69</f>
        <v>2415</v>
      </c>
      <c r="J66" s="109">
        <f t="shared" si="47"/>
        <v>2415</v>
      </c>
      <c r="K66" s="109"/>
      <c r="L66" s="958">
        <f t="shared" si="19"/>
        <v>0.24149999999999999</v>
      </c>
      <c r="M66" s="958">
        <f t="shared" si="20"/>
        <v>0.24149999999999999</v>
      </c>
      <c r="N66" s="958">
        <f t="shared" si="21"/>
        <v>0.24149999999999999</v>
      </c>
      <c r="O66" s="109"/>
      <c r="P66" s="109">
        <f t="shared" si="23"/>
        <v>0</v>
      </c>
      <c r="Q66" s="109">
        <f t="shared" si="24"/>
        <v>0</v>
      </c>
      <c r="R66" s="109">
        <f t="shared" si="25"/>
        <v>0</v>
      </c>
      <c r="S66" s="109">
        <f t="shared" si="26"/>
        <v>0</v>
      </c>
      <c r="T66" s="1007">
        <f t="shared" si="46"/>
        <v>0</v>
      </c>
      <c r="U66" s="1006"/>
      <c r="V66" s="906">
        <f t="shared" si="18"/>
        <v>0</v>
      </c>
      <c r="W66" s="1008"/>
      <c r="X66" s="1008"/>
      <c r="Y66" s="1008"/>
      <c r="Z66" s="1008"/>
    </row>
    <row r="67" spans="1:26" ht="12.75" customHeight="1" x14ac:dyDescent="0.25">
      <c r="A67" s="10" t="s">
        <v>70</v>
      </c>
      <c r="B67" s="14" t="s">
        <v>71</v>
      </c>
      <c r="C67" s="106">
        <v>10000</v>
      </c>
      <c r="D67" s="106">
        <v>10000</v>
      </c>
      <c r="E67" s="106">
        <v>10000</v>
      </c>
      <c r="F67" s="106">
        <v>10000</v>
      </c>
      <c r="G67" s="106"/>
      <c r="H67" s="106">
        <v>2415</v>
      </c>
      <c r="I67" s="106">
        <v>2415</v>
      </c>
      <c r="J67" s="106">
        <v>2415</v>
      </c>
      <c r="K67" s="106"/>
      <c r="L67" s="958">
        <f t="shared" si="19"/>
        <v>0.24149999999999999</v>
      </c>
      <c r="M67" s="958">
        <f t="shared" si="20"/>
        <v>0.24149999999999999</v>
      </c>
      <c r="N67" s="958">
        <f t="shared" si="21"/>
        <v>0.24149999999999999</v>
      </c>
      <c r="O67" s="106"/>
      <c r="P67" s="38">
        <f t="shared" si="23"/>
        <v>0</v>
      </c>
      <c r="Q67" s="38">
        <f t="shared" si="24"/>
        <v>0</v>
      </c>
      <c r="R67" s="38">
        <f t="shared" si="25"/>
        <v>0</v>
      </c>
      <c r="S67" s="38">
        <f t="shared" si="26"/>
        <v>0</v>
      </c>
      <c r="T67" s="1007">
        <f t="shared" si="46"/>
        <v>0</v>
      </c>
      <c r="U67" s="1006"/>
      <c r="V67" s="906">
        <f t="shared" si="18"/>
        <v>0</v>
      </c>
      <c r="W67" s="486"/>
      <c r="X67" s="486"/>
      <c r="Y67" s="486"/>
      <c r="Z67" s="486"/>
    </row>
    <row r="68" spans="1:26" ht="24" customHeight="1" x14ac:dyDescent="0.25">
      <c r="A68" s="10"/>
      <c r="B68" s="14" t="s">
        <v>72</v>
      </c>
      <c r="C68" s="106"/>
      <c r="D68" s="106"/>
      <c r="E68" s="106"/>
      <c r="F68" s="106"/>
      <c r="G68" s="106"/>
      <c r="H68" s="106"/>
      <c r="I68" s="106"/>
      <c r="J68" s="106"/>
      <c r="K68" s="106"/>
      <c r="L68" s="958">
        <f t="shared" si="19"/>
        <v>0</v>
      </c>
      <c r="M68" s="958">
        <f t="shared" si="20"/>
        <v>0</v>
      </c>
      <c r="N68" s="958">
        <f t="shared" si="21"/>
        <v>0</v>
      </c>
      <c r="O68" s="106"/>
      <c r="P68" s="38">
        <f t="shared" si="23"/>
        <v>0</v>
      </c>
      <c r="Q68" s="38">
        <f t="shared" si="24"/>
        <v>0</v>
      </c>
      <c r="R68" s="38">
        <f t="shared" si="25"/>
        <v>0</v>
      </c>
      <c r="S68" s="38">
        <f t="shared" si="26"/>
        <v>0</v>
      </c>
      <c r="T68" s="1007">
        <f t="shared" si="46"/>
        <v>0</v>
      </c>
      <c r="U68" s="1006"/>
      <c r="V68" s="906">
        <f t="shared" si="18"/>
        <v>0</v>
      </c>
      <c r="W68" s="486"/>
      <c r="X68" s="486"/>
      <c r="Y68" s="486"/>
      <c r="Z68" s="486"/>
    </row>
    <row r="69" spans="1:26" ht="12.75" customHeight="1" x14ac:dyDescent="0.25">
      <c r="A69" s="10" t="s">
        <v>73</v>
      </c>
      <c r="B69" s="14" t="s">
        <v>101</v>
      </c>
      <c r="C69" s="106"/>
      <c r="D69" s="106"/>
      <c r="E69" s="106"/>
      <c r="F69" s="106"/>
      <c r="G69" s="106"/>
      <c r="H69" s="106"/>
      <c r="I69" s="106"/>
      <c r="J69" s="106"/>
      <c r="K69" s="106"/>
      <c r="L69" s="958">
        <f t="shared" si="19"/>
        <v>0</v>
      </c>
      <c r="M69" s="958">
        <f t="shared" si="20"/>
        <v>0</v>
      </c>
      <c r="N69" s="958">
        <f t="shared" si="21"/>
        <v>0</v>
      </c>
      <c r="O69" s="106"/>
      <c r="P69" s="38">
        <f t="shared" si="23"/>
        <v>0</v>
      </c>
      <c r="Q69" s="38">
        <f t="shared" si="24"/>
        <v>0</v>
      </c>
      <c r="R69" s="38">
        <f t="shared" si="25"/>
        <v>0</v>
      </c>
      <c r="S69" s="38">
        <f t="shared" si="26"/>
        <v>0</v>
      </c>
      <c r="T69" s="1007">
        <f t="shared" si="46"/>
        <v>0</v>
      </c>
      <c r="U69" s="1006"/>
      <c r="V69" s="906">
        <f t="shared" si="18"/>
        <v>0</v>
      </c>
      <c r="W69" s="486"/>
      <c r="X69" s="486"/>
      <c r="Y69" s="486"/>
      <c r="Z69" s="486"/>
    </row>
    <row r="70" spans="1:26" ht="26.25" customHeight="1" x14ac:dyDescent="0.25">
      <c r="A70" s="10"/>
      <c r="B70" s="14" t="s">
        <v>74</v>
      </c>
      <c r="C70" s="106"/>
      <c r="D70" s="106"/>
      <c r="E70" s="106"/>
      <c r="F70" s="106"/>
      <c r="G70" s="106"/>
      <c r="H70" s="106"/>
      <c r="I70" s="106"/>
      <c r="J70" s="106"/>
      <c r="K70" s="106"/>
      <c r="L70" s="958">
        <f t="shared" si="19"/>
        <v>0</v>
      </c>
      <c r="M70" s="958">
        <f t="shared" si="20"/>
        <v>0</v>
      </c>
      <c r="N70" s="958">
        <f t="shared" si="21"/>
        <v>0</v>
      </c>
      <c r="O70" s="106"/>
      <c r="P70" s="38">
        <f t="shared" si="23"/>
        <v>0</v>
      </c>
      <c r="Q70" s="38">
        <f t="shared" si="24"/>
        <v>0</v>
      </c>
      <c r="R70" s="38">
        <f t="shared" si="25"/>
        <v>0</v>
      </c>
      <c r="S70" s="38">
        <f t="shared" si="26"/>
        <v>0</v>
      </c>
      <c r="T70" s="1007">
        <f t="shared" si="46"/>
        <v>0</v>
      </c>
      <c r="U70" s="1006"/>
      <c r="V70" s="906">
        <f t="shared" si="18"/>
        <v>0</v>
      </c>
      <c r="W70" s="486"/>
      <c r="X70" s="486"/>
      <c r="Y70" s="486"/>
      <c r="Z70" s="486"/>
    </row>
    <row r="71" spans="1:26" s="26" customFormat="1" ht="12.75" customHeight="1" x14ac:dyDescent="0.25">
      <c r="A71" s="24" t="s">
        <v>75</v>
      </c>
      <c r="B71" s="25" t="s">
        <v>76</v>
      </c>
      <c r="C71" s="109">
        <f>SUM(C72:C81)</f>
        <v>2337000</v>
      </c>
      <c r="D71" s="109">
        <f t="shared" ref="D71:J71" si="48">SUM(D72:D81)</f>
        <v>2337000</v>
      </c>
      <c r="E71" s="109">
        <f t="shared" si="48"/>
        <v>2337000</v>
      </c>
      <c r="F71" s="109">
        <f t="shared" si="48"/>
        <v>1928000</v>
      </c>
      <c r="G71" s="109"/>
      <c r="H71" s="109">
        <f t="shared" si="48"/>
        <v>676374</v>
      </c>
      <c r="I71" s="109">
        <f t="shared" si="48"/>
        <v>1168868</v>
      </c>
      <c r="J71" s="109">
        <f t="shared" si="48"/>
        <v>1841324</v>
      </c>
      <c r="K71" s="109"/>
      <c r="L71" s="999">
        <f t="shared" si="19"/>
        <v>0.28941976893453147</v>
      </c>
      <c r="M71" s="999">
        <f t="shared" si="20"/>
        <v>0.50015746683782625</v>
      </c>
      <c r="N71" s="999">
        <f t="shared" si="21"/>
        <v>0.78790072742832695</v>
      </c>
      <c r="O71" s="109"/>
      <c r="P71" s="109">
        <f t="shared" si="23"/>
        <v>0</v>
      </c>
      <c r="Q71" s="109">
        <f t="shared" si="24"/>
        <v>0</v>
      </c>
      <c r="R71" s="109">
        <f t="shared" si="25"/>
        <v>-409000</v>
      </c>
      <c r="S71" s="109">
        <f t="shared" si="26"/>
        <v>-409000</v>
      </c>
      <c r="T71" s="1008"/>
      <c r="U71" s="1008"/>
      <c r="V71" s="906">
        <f t="shared" si="18"/>
        <v>0</v>
      </c>
      <c r="W71" s="1008"/>
      <c r="X71" s="1008"/>
      <c r="Y71" s="1008"/>
      <c r="Z71" s="1008"/>
    </row>
    <row r="72" spans="1:26" ht="12.75" customHeight="1" x14ac:dyDescent="0.25">
      <c r="A72" s="10" t="s">
        <v>77</v>
      </c>
      <c r="B72" s="14" t="s">
        <v>78</v>
      </c>
      <c r="C72" s="106">
        <v>1800000</v>
      </c>
      <c r="D72" s="106">
        <v>1800000</v>
      </c>
      <c r="E72" s="106">
        <v>1800000</v>
      </c>
      <c r="F72" s="106">
        <v>1555000</v>
      </c>
      <c r="G72" s="106"/>
      <c r="H72" s="106">
        <v>539606</v>
      </c>
      <c r="I72" s="106">
        <v>869418</v>
      </c>
      <c r="J72" s="106">
        <v>1540432</v>
      </c>
      <c r="K72" s="106"/>
      <c r="L72" s="958">
        <f t="shared" si="19"/>
        <v>0.29978111111111111</v>
      </c>
      <c r="M72" s="958">
        <f t="shared" si="20"/>
        <v>0.48300999999999999</v>
      </c>
      <c r="N72" s="958">
        <f t="shared" si="21"/>
        <v>0.85579555555555553</v>
      </c>
      <c r="O72" s="106"/>
      <c r="P72" s="38">
        <f t="shared" si="23"/>
        <v>0</v>
      </c>
      <c r="Q72" s="38">
        <f t="shared" si="24"/>
        <v>0</v>
      </c>
      <c r="R72" s="38">
        <f t="shared" si="25"/>
        <v>-245000</v>
      </c>
      <c r="S72" s="38">
        <f t="shared" si="26"/>
        <v>-245000</v>
      </c>
      <c r="T72" s="1007">
        <f t="shared" ref="T72:T81" si="49">IF(C72=0,0,+S72/C72)</f>
        <v>-0.1361111111111111</v>
      </c>
      <c r="U72" s="1006"/>
      <c r="V72" s="906">
        <f t="shared" si="18"/>
        <v>0</v>
      </c>
      <c r="W72" s="486"/>
      <c r="X72" s="486"/>
      <c r="Y72" s="486"/>
      <c r="Z72" s="486"/>
    </row>
    <row r="73" spans="1:26" ht="12.75" customHeight="1" x14ac:dyDescent="0.25">
      <c r="A73" s="10"/>
      <c r="B73" s="14" t="s">
        <v>79</v>
      </c>
      <c r="C73" s="106">
        <v>0</v>
      </c>
      <c r="D73" s="106"/>
      <c r="E73" s="106"/>
      <c r="F73" s="106"/>
      <c r="G73" s="106"/>
      <c r="H73" s="106"/>
      <c r="I73" s="106"/>
      <c r="J73" s="106"/>
      <c r="K73" s="106"/>
      <c r="L73" s="958">
        <f t="shared" si="19"/>
        <v>0</v>
      </c>
      <c r="M73" s="958">
        <f t="shared" si="20"/>
        <v>0</v>
      </c>
      <c r="N73" s="958">
        <f t="shared" si="21"/>
        <v>0</v>
      </c>
      <c r="O73" s="106"/>
      <c r="P73" s="38">
        <f t="shared" si="23"/>
        <v>0</v>
      </c>
      <c r="Q73" s="38">
        <f t="shared" si="24"/>
        <v>0</v>
      </c>
      <c r="R73" s="38">
        <f t="shared" si="25"/>
        <v>0</v>
      </c>
      <c r="S73" s="38">
        <f t="shared" si="26"/>
        <v>0</v>
      </c>
      <c r="T73" s="1007">
        <f t="shared" si="49"/>
        <v>0</v>
      </c>
      <c r="U73" s="1006"/>
      <c r="V73" s="906">
        <f t="shared" si="18"/>
        <v>0</v>
      </c>
      <c r="W73" s="486"/>
      <c r="X73" s="486"/>
      <c r="Y73" s="486"/>
      <c r="Z73" s="486"/>
    </row>
    <row r="74" spans="1:26" ht="12.75" customHeight="1" x14ac:dyDescent="0.25">
      <c r="A74" s="10" t="s">
        <v>80</v>
      </c>
      <c r="B74" s="14" t="s">
        <v>81</v>
      </c>
      <c r="C74" s="106">
        <v>487000</v>
      </c>
      <c r="D74" s="106">
        <v>487000</v>
      </c>
      <c r="E74" s="106">
        <v>487000</v>
      </c>
      <c r="F74" s="106">
        <v>343000</v>
      </c>
      <c r="G74" s="106"/>
      <c r="H74" s="106">
        <v>133000</v>
      </c>
      <c r="I74" s="106">
        <v>294000</v>
      </c>
      <c r="J74" s="106">
        <v>294000</v>
      </c>
      <c r="K74" s="106"/>
      <c r="L74" s="958">
        <f t="shared" si="19"/>
        <v>0.2731006160164271</v>
      </c>
      <c r="M74" s="958">
        <f t="shared" si="20"/>
        <v>0.60369609856262829</v>
      </c>
      <c r="N74" s="958">
        <f t="shared" si="21"/>
        <v>0.60369609856262829</v>
      </c>
      <c r="O74" s="106"/>
      <c r="P74" s="38">
        <f t="shared" si="23"/>
        <v>0</v>
      </c>
      <c r="Q74" s="38">
        <f t="shared" si="24"/>
        <v>0</v>
      </c>
      <c r="R74" s="38">
        <f t="shared" si="25"/>
        <v>-144000</v>
      </c>
      <c r="S74" s="38">
        <f t="shared" si="26"/>
        <v>-144000</v>
      </c>
      <c r="T74" s="1007">
        <f t="shared" si="49"/>
        <v>-0.29568788501026694</v>
      </c>
      <c r="U74" s="1006"/>
      <c r="V74" s="906">
        <f t="shared" si="18"/>
        <v>0</v>
      </c>
      <c r="W74" s="486"/>
      <c r="X74" s="486"/>
      <c r="Y74" s="486"/>
      <c r="Z74" s="486"/>
    </row>
    <row r="75" spans="1:26" ht="12.75" customHeight="1" x14ac:dyDescent="0.25">
      <c r="A75" s="10"/>
      <c r="B75" s="14" t="s">
        <v>102</v>
      </c>
      <c r="C75" s="106"/>
      <c r="D75" s="106"/>
      <c r="E75" s="106"/>
      <c r="F75" s="106"/>
      <c r="G75" s="106"/>
      <c r="H75" s="106"/>
      <c r="I75" s="106"/>
      <c r="J75" s="106"/>
      <c r="K75" s="106"/>
      <c r="L75" s="958">
        <f t="shared" si="19"/>
        <v>0</v>
      </c>
      <c r="M75" s="958">
        <f t="shared" si="20"/>
        <v>0</v>
      </c>
      <c r="N75" s="958">
        <f t="shared" si="21"/>
        <v>0</v>
      </c>
      <c r="O75" s="106"/>
      <c r="P75" s="38">
        <f t="shared" si="23"/>
        <v>0</v>
      </c>
      <c r="Q75" s="38">
        <f t="shared" si="24"/>
        <v>0</v>
      </c>
      <c r="R75" s="38">
        <f t="shared" si="25"/>
        <v>0</v>
      </c>
      <c r="S75" s="38">
        <f t="shared" si="26"/>
        <v>0</v>
      </c>
      <c r="T75" s="1007">
        <f t="shared" si="49"/>
        <v>0</v>
      </c>
      <c r="U75" s="1006"/>
      <c r="V75" s="906">
        <f t="shared" si="18"/>
        <v>0</v>
      </c>
      <c r="W75" s="486"/>
      <c r="X75" s="486"/>
      <c r="Y75" s="486"/>
      <c r="Z75" s="486"/>
    </row>
    <row r="76" spans="1:26" ht="12.75" customHeight="1" x14ac:dyDescent="0.25">
      <c r="A76" s="10" t="s">
        <v>82</v>
      </c>
      <c r="B76" s="14" t="s">
        <v>83</v>
      </c>
      <c r="C76" s="106"/>
      <c r="D76" s="106"/>
      <c r="E76" s="106"/>
      <c r="F76" s="106"/>
      <c r="G76" s="106"/>
      <c r="H76" s="106"/>
      <c r="I76" s="106"/>
      <c r="J76" s="106"/>
      <c r="K76" s="106"/>
      <c r="L76" s="958">
        <f t="shared" si="19"/>
        <v>0</v>
      </c>
      <c r="M76" s="958">
        <f t="shared" si="20"/>
        <v>0</v>
      </c>
      <c r="N76" s="958">
        <f t="shared" si="21"/>
        <v>0</v>
      </c>
      <c r="O76" s="106"/>
      <c r="P76" s="38">
        <f t="shared" si="23"/>
        <v>0</v>
      </c>
      <c r="Q76" s="38">
        <f t="shared" si="24"/>
        <v>0</v>
      </c>
      <c r="R76" s="38">
        <f t="shared" si="25"/>
        <v>0</v>
      </c>
      <c r="S76" s="38">
        <f t="shared" si="26"/>
        <v>0</v>
      </c>
      <c r="T76" s="1007">
        <f t="shared" si="49"/>
        <v>0</v>
      </c>
      <c r="U76" s="1006"/>
      <c r="V76" s="906">
        <f t="shared" si="18"/>
        <v>0</v>
      </c>
      <c r="W76" s="486"/>
      <c r="X76" s="486"/>
      <c r="Y76" s="486"/>
      <c r="Z76" s="486"/>
    </row>
    <row r="77" spans="1:26" ht="30.75" customHeight="1" x14ac:dyDescent="0.25">
      <c r="A77" s="10"/>
      <c r="B77" s="14" t="s">
        <v>107</v>
      </c>
      <c r="C77" s="106"/>
      <c r="D77" s="106"/>
      <c r="E77" s="106"/>
      <c r="F77" s="106"/>
      <c r="G77" s="106"/>
      <c r="H77" s="106"/>
      <c r="I77" s="106"/>
      <c r="J77" s="106"/>
      <c r="K77" s="106"/>
      <c r="L77" s="958">
        <f t="shared" si="19"/>
        <v>0</v>
      </c>
      <c r="M77" s="958">
        <f t="shared" si="20"/>
        <v>0</v>
      </c>
      <c r="N77" s="958">
        <f t="shared" si="21"/>
        <v>0</v>
      </c>
      <c r="O77" s="106"/>
      <c r="P77" s="38">
        <f t="shared" si="23"/>
        <v>0</v>
      </c>
      <c r="Q77" s="38">
        <f t="shared" si="24"/>
        <v>0</v>
      </c>
      <c r="R77" s="38">
        <f t="shared" si="25"/>
        <v>0</v>
      </c>
      <c r="S77" s="38">
        <f t="shared" si="26"/>
        <v>0</v>
      </c>
      <c r="T77" s="1007">
        <f t="shared" si="49"/>
        <v>0</v>
      </c>
      <c r="U77" s="1006"/>
      <c r="V77" s="906">
        <f t="shared" ref="V77:V100" si="50">+S77-F77+C77</f>
        <v>0</v>
      </c>
      <c r="W77" s="486"/>
      <c r="X77" s="486"/>
      <c r="Y77" s="486"/>
      <c r="Z77" s="486"/>
    </row>
    <row r="78" spans="1:26" ht="12.75" customHeight="1" x14ac:dyDescent="0.25">
      <c r="A78" s="10" t="s">
        <v>85</v>
      </c>
      <c r="B78" s="14" t="s">
        <v>86</v>
      </c>
      <c r="C78" s="106"/>
      <c r="D78" s="106"/>
      <c r="E78" s="106"/>
      <c r="F78" s="106"/>
      <c r="G78" s="106"/>
      <c r="H78" s="106"/>
      <c r="I78" s="106"/>
      <c r="J78" s="106"/>
      <c r="K78" s="106"/>
      <c r="L78" s="958">
        <f t="shared" ref="L78:L102" si="51">IF(C78=0,0,H78/C78)</f>
        <v>0</v>
      </c>
      <c r="M78" s="958">
        <f t="shared" ref="M78:M102" si="52">IF(D78=0,0,I78/D78)</f>
        <v>0</v>
      </c>
      <c r="N78" s="958">
        <f t="shared" ref="N78:N102" si="53">IF(E78=0,0,J78/E78)</f>
        <v>0</v>
      </c>
      <c r="O78" s="106"/>
      <c r="P78" s="38">
        <f t="shared" si="23"/>
        <v>0</v>
      </c>
      <c r="Q78" s="38">
        <f t="shared" si="24"/>
        <v>0</v>
      </c>
      <c r="R78" s="38">
        <f t="shared" si="25"/>
        <v>0</v>
      </c>
      <c r="S78" s="38">
        <f t="shared" si="26"/>
        <v>0</v>
      </c>
      <c r="T78" s="1007">
        <f t="shared" si="49"/>
        <v>0</v>
      </c>
      <c r="U78" s="1006"/>
      <c r="V78" s="906">
        <f t="shared" si="50"/>
        <v>0</v>
      </c>
      <c r="W78" s="486"/>
      <c r="X78" s="486"/>
      <c r="Y78" s="486"/>
      <c r="Z78" s="486"/>
    </row>
    <row r="79" spans="1:26" ht="12.75" customHeight="1" x14ac:dyDescent="0.25">
      <c r="A79" s="10"/>
      <c r="B79" s="14" t="s">
        <v>87</v>
      </c>
      <c r="C79" s="106"/>
      <c r="D79" s="106"/>
      <c r="E79" s="106"/>
      <c r="F79" s="106"/>
      <c r="G79" s="106"/>
      <c r="H79" s="106"/>
      <c r="I79" s="106"/>
      <c r="J79" s="106"/>
      <c r="K79" s="106"/>
      <c r="L79" s="958">
        <f t="shared" si="51"/>
        <v>0</v>
      </c>
      <c r="M79" s="958">
        <f t="shared" si="52"/>
        <v>0</v>
      </c>
      <c r="N79" s="958">
        <f t="shared" si="53"/>
        <v>0</v>
      </c>
      <c r="O79" s="106"/>
      <c r="P79" s="38">
        <f t="shared" si="23"/>
        <v>0</v>
      </c>
      <c r="Q79" s="38">
        <f t="shared" si="24"/>
        <v>0</v>
      </c>
      <c r="R79" s="38">
        <f t="shared" si="25"/>
        <v>0</v>
      </c>
      <c r="S79" s="38">
        <f t="shared" si="26"/>
        <v>0</v>
      </c>
      <c r="T79" s="1007">
        <f t="shared" si="49"/>
        <v>0</v>
      </c>
      <c r="U79" s="1006"/>
      <c r="V79" s="906">
        <f t="shared" si="50"/>
        <v>0</v>
      </c>
      <c r="W79" s="486"/>
      <c r="X79" s="486"/>
      <c r="Y79" s="486"/>
      <c r="Z79" s="486"/>
    </row>
    <row r="80" spans="1:26" ht="12.75" customHeight="1" x14ac:dyDescent="0.25">
      <c r="A80" s="10" t="s">
        <v>88</v>
      </c>
      <c r="B80" s="14" t="s">
        <v>89</v>
      </c>
      <c r="C80" s="106">
        <v>50000</v>
      </c>
      <c r="D80" s="106">
        <v>50000</v>
      </c>
      <c r="E80" s="106">
        <v>50000</v>
      </c>
      <c r="F80" s="106">
        <v>30000</v>
      </c>
      <c r="G80" s="106"/>
      <c r="H80" s="106">
        <v>3768</v>
      </c>
      <c r="I80" s="106">
        <v>5450</v>
      </c>
      <c r="J80" s="106">
        <v>6892</v>
      </c>
      <c r="K80" s="106"/>
      <c r="L80" s="958">
        <f t="shared" si="51"/>
        <v>7.5359999999999996E-2</v>
      </c>
      <c r="M80" s="958">
        <f t="shared" si="52"/>
        <v>0.109</v>
      </c>
      <c r="N80" s="958">
        <f t="shared" si="53"/>
        <v>0.13783999999999999</v>
      </c>
      <c r="O80" s="106"/>
      <c r="P80" s="38">
        <f t="shared" si="23"/>
        <v>0</v>
      </c>
      <c r="Q80" s="38">
        <f t="shared" si="24"/>
        <v>0</v>
      </c>
      <c r="R80" s="38">
        <f t="shared" si="25"/>
        <v>-20000</v>
      </c>
      <c r="S80" s="38">
        <f t="shared" si="26"/>
        <v>-20000</v>
      </c>
      <c r="T80" s="1007">
        <f t="shared" si="49"/>
        <v>-0.4</v>
      </c>
      <c r="U80" s="1006"/>
      <c r="V80" s="906">
        <f t="shared" si="50"/>
        <v>0</v>
      </c>
      <c r="W80" s="486"/>
      <c r="X80" s="486"/>
      <c r="Y80" s="486"/>
      <c r="Z80" s="486"/>
    </row>
    <row r="81" spans="1:26" ht="56.25" customHeight="1" x14ac:dyDescent="0.25">
      <c r="A81" s="10"/>
      <c r="B81" s="14" t="s">
        <v>93</v>
      </c>
      <c r="C81" s="106"/>
      <c r="D81" s="106"/>
      <c r="E81" s="106"/>
      <c r="F81" s="106"/>
      <c r="G81" s="106"/>
      <c r="H81" s="106"/>
      <c r="I81" s="106"/>
      <c r="J81" s="106"/>
      <c r="K81" s="106"/>
      <c r="L81" s="958">
        <f t="shared" si="51"/>
        <v>0</v>
      </c>
      <c r="M81" s="958">
        <f t="shared" si="52"/>
        <v>0</v>
      </c>
      <c r="N81" s="958">
        <f t="shared" si="53"/>
        <v>0</v>
      </c>
      <c r="O81" s="106"/>
      <c r="P81" s="38">
        <f t="shared" si="23"/>
        <v>0</v>
      </c>
      <c r="Q81" s="38">
        <f t="shared" si="24"/>
        <v>0</v>
      </c>
      <c r="R81" s="38">
        <f t="shared" si="25"/>
        <v>0</v>
      </c>
      <c r="S81" s="38">
        <f t="shared" si="26"/>
        <v>0</v>
      </c>
      <c r="T81" s="1007">
        <f t="shared" si="49"/>
        <v>0</v>
      </c>
      <c r="U81" s="1006"/>
      <c r="V81" s="906">
        <f t="shared" si="50"/>
        <v>0</v>
      </c>
      <c r="W81" s="486"/>
      <c r="X81" s="486"/>
      <c r="Y81" s="486"/>
      <c r="Z81" s="486"/>
    </row>
    <row r="82" spans="1:26" ht="12.75" customHeight="1" x14ac:dyDescent="0.25">
      <c r="A82" s="115"/>
      <c r="B82" s="116"/>
      <c r="C82" s="117"/>
      <c r="D82" s="117"/>
      <c r="E82" s="117"/>
      <c r="F82" s="117"/>
      <c r="G82" s="117"/>
      <c r="H82" s="117"/>
      <c r="I82" s="117"/>
      <c r="J82" s="117"/>
      <c r="K82" s="117"/>
      <c r="L82" s="1000"/>
      <c r="M82" s="1000"/>
      <c r="N82" s="1000"/>
      <c r="O82" s="117"/>
      <c r="P82" s="118"/>
      <c r="Q82" s="118"/>
      <c r="R82" s="118"/>
      <c r="S82" s="118"/>
      <c r="T82" s="1009"/>
      <c r="U82" s="1010"/>
      <c r="V82" s="906">
        <f t="shared" si="50"/>
        <v>0</v>
      </c>
      <c r="W82" s="486"/>
      <c r="X82" s="486"/>
      <c r="Y82" s="486"/>
      <c r="Z82" s="486"/>
    </row>
    <row r="83" spans="1:26" s="26" customFormat="1" ht="12.75" customHeight="1" x14ac:dyDescent="0.25">
      <c r="A83" s="4" t="s">
        <v>159</v>
      </c>
      <c r="B83" s="3" t="s">
        <v>160</v>
      </c>
      <c r="C83" s="111">
        <f>SUM(C84:C85)</f>
        <v>16000</v>
      </c>
      <c r="D83" s="111">
        <f t="shared" ref="D83:F83" si="54">SUM(D84:D85)</f>
        <v>46000</v>
      </c>
      <c r="E83" s="111">
        <f t="shared" si="54"/>
        <v>156000</v>
      </c>
      <c r="F83" s="111">
        <f t="shared" si="54"/>
        <v>231000</v>
      </c>
      <c r="G83" s="111"/>
      <c r="H83" s="111">
        <f t="shared" ref="H83:J83" si="55">SUM(H84:H85)</f>
        <v>42990</v>
      </c>
      <c r="I83" s="111">
        <f t="shared" si="55"/>
        <v>149290</v>
      </c>
      <c r="J83" s="111">
        <f t="shared" si="55"/>
        <v>229280</v>
      </c>
      <c r="K83" s="111"/>
      <c r="L83" s="950">
        <f t="shared" si="51"/>
        <v>2.6868750000000001</v>
      </c>
      <c r="M83" s="950">
        <f t="shared" si="52"/>
        <v>3.2454347826086956</v>
      </c>
      <c r="N83" s="950">
        <f t="shared" si="53"/>
        <v>1.4697435897435898</v>
      </c>
      <c r="O83" s="111"/>
      <c r="P83" s="111">
        <f t="shared" ref="P83:P88" si="56">+(D83-C83)*P$10</f>
        <v>30000</v>
      </c>
      <c r="Q83" s="111">
        <f t="shared" ref="Q83:Q88" si="57">+(E83-D83)*Q$10</f>
        <v>110000</v>
      </c>
      <c r="R83" s="111">
        <f t="shared" ref="R83:R88" si="58">+(F83-E83)*R$10</f>
        <v>75000</v>
      </c>
      <c r="S83" s="111">
        <f t="shared" ref="S83:S88" si="59">SUM(P83:R83)</f>
        <v>215000</v>
      </c>
      <c r="T83" s="1005">
        <f t="shared" ref="T83:T88" si="60">IF(C83=0,0,+S83/C83)</f>
        <v>13.4375</v>
      </c>
      <c r="U83" s="1006"/>
      <c r="V83" s="906">
        <f t="shared" si="50"/>
        <v>0</v>
      </c>
      <c r="W83" s="1008"/>
      <c r="X83" s="1008"/>
      <c r="Y83" s="1008"/>
      <c r="Z83" s="1008"/>
    </row>
    <row r="84" spans="1:26" ht="12.75" customHeight="1" x14ac:dyDescent="0.25">
      <c r="A84" s="10"/>
      <c r="B84" s="14"/>
      <c r="C84" s="107">
        <v>16000</v>
      </c>
      <c r="D84" s="106">
        <v>46000</v>
      </c>
      <c r="E84" s="106">
        <v>156000</v>
      </c>
      <c r="F84" s="106">
        <v>231000</v>
      </c>
      <c r="G84" s="106"/>
      <c r="H84" s="106">
        <v>42990</v>
      </c>
      <c r="I84" s="120">
        <v>149290</v>
      </c>
      <c r="J84" s="106">
        <v>229280</v>
      </c>
      <c r="K84" s="106"/>
      <c r="L84" s="1001">
        <f t="shared" si="51"/>
        <v>2.6868750000000001</v>
      </c>
      <c r="M84" s="1001">
        <f t="shared" si="52"/>
        <v>3.2454347826086956</v>
      </c>
      <c r="N84" s="1001">
        <f t="shared" si="53"/>
        <v>1.4697435897435898</v>
      </c>
      <c r="O84" s="106"/>
      <c r="P84" s="38">
        <f t="shared" si="56"/>
        <v>30000</v>
      </c>
      <c r="Q84" s="38">
        <f t="shared" si="57"/>
        <v>110000</v>
      </c>
      <c r="R84" s="38">
        <f t="shared" si="58"/>
        <v>75000</v>
      </c>
      <c r="S84" s="38">
        <f t="shared" si="59"/>
        <v>215000</v>
      </c>
      <c r="T84" s="1007">
        <f t="shared" si="60"/>
        <v>13.4375</v>
      </c>
      <c r="U84" s="1006"/>
      <c r="V84" s="906">
        <f t="shared" si="50"/>
        <v>0</v>
      </c>
      <c r="W84" s="486"/>
      <c r="X84" s="486"/>
      <c r="Y84" s="486"/>
      <c r="Z84" s="486"/>
    </row>
    <row r="85" spans="1:26" ht="12.75" hidden="1" customHeight="1" x14ac:dyDescent="0.25">
      <c r="A85" s="10"/>
      <c r="B85" s="14"/>
      <c r="C85" s="107"/>
      <c r="D85" s="106"/>
      <c r="E85" s="106"/>
      <c r="F85" s="106"/>
      <c r="G85" s="106"/>
      <c r="H85" s="106"/>
      <c r="I85" s="106"/>
      <c r="J85" s="106"/>
      <c r="K85" s="106"/>
      <c r="L85" s="948">
        <f t="shared" si="51"/>
        <v>0</v>
      </c>
      <c r="M85" s="948">
        <f t="shared" si="52"/>
        <v>0</v>
      </c>
      <c r="N85" s="948">
        <f t="shared" si="53"/>
        <v>0</v>
      </c>
      <c r="O85" s="106"/>
      <c r="P85" s="38">
        <f t="shared" si="56"/>
        <v>0</v>
      </c>
      <c r="Q85" s="38">
        <f t="shared" si="57"/>
        <v>0</v>
      </c>
      <c r="R85" s="38">
        <f t="shared" si="58"/>
        <v>0</v>
      </c>
      <c r="S85" s="38">
        <f t="shared" si="59"/>
        <v>0</v>
      </c>
      <c r="T85" s="1007">
        <f t="shared" si="60"/>
        <v>0</v>
      </c>
      <c r="U85" s="1006"/>
      <c r="V85" s="906">
        <f t="shared" si="50"/>
        <v>0</v>
      </c>
      <c r="W85" s="486"/>
      <c r="X85" s="486"/>
      <c r="Y85" s="486"/>
      <c r="Z85" s="486"/>
    </row>
    <row r="86" spans="1:26" s="26" customFormat="1" ht="12.75" customHeight="1" x14ac:dyDescent="0.25">
      <c r="A86" s="4" t="s">
        <v>174</v>
      </c>
      <c r="B86" s="3" t="s">
        <v>175</v>
      </c>
      <c r="C86" s="111">
        <f>SUM(C87:C88)</f>
        <v>0</v>
      </c>
      <c r="D86" s="111">
        <f t="shared" ref="D86:F86" si="61">SUM(D87:D88)</f>
        <v>0</v>
      </c>
      <c r="E86" s="111">
        <f t="shared" si="61"/>
        <v>0</v>
      </c>
      <c r="F86" s="111">
        <f t="shared" si="61"/>
        <v>0</v>
      </c>
      <c r="G86" s="111"/>
      <c r="H86" s="111">
        <f t="shared" ref="H86:J86" si="62">SUM(H87:H88)</f>
        <v>0</v>
      </c>
      <c r="I86" s="111">
        <f t="shared" si="62"/>
        <v>0</v>
      </c>
      <c r="J86" s="111">
        <f t="shared" si="62"/>
        <v>0</v>
      </c>
      <c r="K86" s="111"/>
      <c r="L86" s="950">
        <f t="shared" si="51"/>
        <v>0</v>
      </c>
      <c r="M86" s="950">
        <f t="shared" si="52"/>
        <v>0</v>
      </c>
      <c r="N86" s="950">
        <f t="shared" si="53"/>
        <v>0</v>
      </c>
      <c r="O86" s="111"/>
      <c r="P86" s="111">
        <f t="shared" si="56"/>
        <v>0</v>
      </c>
      <c r="Q86" s="111">
        <f t="shared" si="57"/>
        <v>0</v>
      </c>
      <c r="R86" s="111">
        <f t="shared" si="58"/>
        <v>0</v>
      </c>
      <c r="S86" s="111">
        <f t="shared" si="59"/>
        <v>0</v>
      </c>
      <c r="T86" s="1005">
        <f t="shared" si="60"/>
        <v>0</v>
      </c>
      <c r="U86" s="1006"/>
      <c r="V86" s="906">
        <f t="shared" si="50"/>
        <v>0</v>
      </c>
      <c r="W86" s="1008"/>
      <c r="X86" s="1008"/>
      <c r="Y86" s="1008"/>
      <c r="Z86" s="1008"/>
    </row>
    <row r="87" spans="1:26" ht="12.75" customHeight="1" x14ac:dyDescent="0.25">
      <c r="A87" s="10"/>
      <c r="B87" s="14"/>
      <c r="C87" s="107"/>
      <c r="D87" s="106"/>
      <c r="E87" s="106"/>
      <c r="F87" s="106"/>
      <c r="G87" s="106"/>
      <c r="H87" s="106"/>
      <c r="I87" s="120"/>
      <c r="J87" s="106"/>
      <c r="K87" s="106"/>
      <c r="L87" s="1001">
        <f t="shared" si="51"/>
        <v>0</v>
      </c>
      <c r="M87" s="1001">
        <f t="shared" si="52"/>
        <v>0</v>
      </c>
      <c r="N87" s="1001">
        <f t="shared" si="53"/>
        <v>0</v>
      </c>
      <c r="O87" s="106"/>
      <c r="P87" s="38">
        <f t="shared" si="56"/>
        <v>0</v>
      </c>
      <c r="Q87" s="38">
        <f t="shared" si="57"/>
        <v>0</v>
      </c>
      <c r="R87" s="38">
        <f t="shared" si="58"/>
        <v>0</v>
      </c>
      <c r="S87" s="38">
        <f t="shared" si="59"/>
        <v>0</v>
      </c>
      <c r="T87" s="1007">
        <f t="shared" si="60"/>
        <v>0</v>
      </c>
      <c r="U87" s="1006"/>
      <c r="V87" s="906">
        <f t="shared" si="50"/>
        <v>0</v>
      </c>
      <c r="W87" s="486"/>
      <c r="X87" s="486"/>
      <c r="Y87" s="486"/>
      <c r="Z87" s="486"/>
    </row>
    <row r="88" spans="1:26" ht="12.75" hidden="1" customHeight="1" x14ac:dyDescent="0.25">
      <c r="A88" s="10"/>
      <c r="B88" s="14"/>
      <c r="C88" s="107"/>
      <c r="D88" s="106"/>
      <c r="E88" s="106"/>
      <c r="F88" s="106"/>
      <c r="G88" s="106"/>
      <c r="H88" s="106"/>
      <c r="I88" s="106"/>
      <c r="J88" s="106"/>
      <c r="K88" s="106"/>
      <c r="L88" s="948">
        <f t="shared" si="51"/>
        <v>0</v>
      </c>
      <c r="M88" s="948">
        <f t="shared" si="52"/>
        <v>0</v>
      </c>
      <c r="N88" s="948">
        <f t="shared" si="53"/>
        <v>0</v>
      </c>
      <c r="O88" s="106"/>
      <c r="P88" s="38">
        <f t="shared" si="56"/>
        <v>0</v>
      </c>
      <c r="Q88" s="38">
        <f t="shared" si="57"/>
        <v>0</v>
      </c>
      <c r="R88" s="38">
        <f t="shared" si="58"/>
        <v>0</v>
      </c>
      <c r="S88" s="38">
        <f t="shared" si="59"/>
        <v>0</v>
      </c>
      <c r="T88" s="1007">
        <f t="shared" si="60"/>
        <v>0</v>
      </c>
      <c r="U88" s="1006"/>
      <c r="V88" s="906">
        <f t="shared" si="50"/>
        <v>0</v>
      </c>
      <c r="W88" s="486"/>
      <c r="X88" s="486"/>
      <c r="Y88" s="486"/>
      <c r="Z88" s="486"/>
    </row>
    <row r="89" spans="1:26" ht="21" customHeight="1" x14ac:dyDescent="0.25">
      <c r="A89" s="156"/>
      <c r="B89" s="147" t="s">
        <v>380</v>
      </c>
      <c r="C89" s="148">
        <f>C13+C29+C32+C83+C86</f>
        <v>56999000</v>
      </c>
      <c r="D89" s="148">
        <f t="shared" ref="D89:J89" si="63">D13+D29+D32+D83+D86</f>
        <v>56999000</v>
      </c>
      <c r="E89" s="148">
        <f t="shared" si="63"/>
        <v>56999000</v>
      </c>
      <c r="F89" s="148">
        <f t="shared" si="63"/>
        <v>56999000</v>
      </c>
      <c r="G89" s="148"/>
      <c r="H89" s="148">
        <f t="shared" si="63"/>
        <v>26017758</v>
      </c>
      <c r="I89" s="148">
        <f t="shared" si="63"/>
        <v>40359604</v>
      </c>
      <c r="J89" s="148">
        <f t="shared" si="63"/>
        <v>56687965</v>
      </c>
      <c r="K89" s="150"/>
      <c r="L89" s="514">
        <f t="shared" si="51"/>
        <v>0.4564599028053124</v>
      </c>
      <c r="M89" s="514">
        <f t="shared" si="52"/>
        <v>0.70807565045000787</v>
      </c>
      <c r="N89" s="514">
        <f t="shared" si="53"/>
        <v>0.99454314987982251</v>
      </c>
      <c r="O89" s="150"/>
      <c r="P89" s="148">
        <f t="shared" si="23"/>
        <v>0</v>
      </c>
      <c r="Q89" s="148">
        <f t="shared" si="24"/>
        <v>0</v>
      </c>
      <c r="R89" s="148">
        <f t="shared" si="25"/>
        <v>0</v>
      </c>
      <c r="S89" s="148">
        <f t="shared" si="26"/>
        <v>0</v>
      </c>
      <c r="T89" s="552">
        <f t="shared" ref="T89:T102" si="64">IF(C89=0,0,+S89/C89)</f>
        <v>0</v>
      </c>
      <c r="U89" s="1011"/>
      <c r="V89" s="747">
        <f t="shared" si="50"/>
        <v>0</v>
      </c>
      <c r="W89" s="486"/>
      <c r="X89" s="486"/>
      <c r="Y89" s="486"/>
      <c r="Z89" s="486"/>
    </row>
    <row r="90" spans="1:26" ht="10.35" customHeight="1" x14ac:dyDescent="0.25">
      <c r="A90" s="17"/>
      <c r="B90" s="17"/>
      <c r="C90" s="42"/>
      <c r="D90" s="43"/>
      <c r="E90" s="43"/>
      <c r="F90" s="43"/>
      <c r="G90" s="43"/>
      <c r="H90" s="43"/>
      <c r="I90" s="43"/>
      <c r="J90" s="43"/>
      <c r="K90" s="43"/>
      <c r="L90" s="550"/>
      <c r="M90" s="550"/>
      <c r="N90" s="550"/>
      <c r="O90" s="43"/>
      <c r="P90" s="43"/>
      <c r="Q90" s="43"/>
      <c r="R90" s="43"/>
      <c r="S90" s="43"/>
      <c r="T90" s="952"/>
      <c r="U90" s="1012"/>
      <c r="V90" s="906">
        <f t="shared" si="50"/>
        <v>0</v>
      </c>
      <c r="W90" s="1013"/>
      <c r="X90" s="1013"/>
      <c r="Y90" s="486"/>
      <c r="Z90" s="486"/>
    </row>
    <row r="91" spans="1:26" ht="10.35" customHeight="1" x14ac:dyDescent="0.25">
      <c r="A91" s="144"/>
      <c r="B91" s="144"/>
      <c r="C91" s="145"/>
      <c r="D91" s="146"/>
      <c r="E91" s="146"/>
      <c r="F91" s="146"/>
      <c r="G91" s="146"/>
      <c r="H91" s="146"/>
      <c r="I91" s="146"/>
      <c r="J91" s="146"/>
      <c r="K91" s="146"/>
      <c r="L91" s="1003"/>
      <c r="M91" s="1003"/>
      <c r="N91" s="1003"/>
      <c r="O91" s="146"/>
      <c r="P91" s="146"/>
      <c r="Q91" s="146"/>
      <c r="R91" s="146"/>
      <c r="S91" s="146"/>
      <c r="T91" s="955"/>
      <c r="U91" s="1014"/>
      <c r="V91" s="907">
        <f t="shared" si="50"/>
        <v>0</v>
      </c>
      <c r="W91" s="1013"/>
      <c r="X91" s="1013"/>
      <c r="Y91" s="486"/>
      <c r="Z91" s="486"/>
    </row>
    <row r="92" spans="1:26" ht="10.35" customHeight="1" x14ac:dyDescent="0.25">
      <c r="A92" s="17"/>
      <c r="B92" s="17"/>
      <c r="C92" s="42"/>
      <c r="D92" s="43"/>
      <c r="E92" s="43"/>
      <c r="F92" s="43"/>
      <c r="G92" s="43"/>
      <c r="H92" s="43"/>
      <c r="I92" s="43"/>
      <c r="J92" s="43"/>
      <c r="K92" s="43"/>
      <c r="L92" s="550"/>
      <c r="M92" s="550"/>
      <c r="N92" s="550"/>
      <c r="O92" s="43"/>
      <c r="P92" s="43"/>
      <c r="Q92" s="43"/>
      <c r="R92" s="43"/>
      <c r="S92" s="43"/>
      <c r="T92" s="952"/>
      <c r="U92" s="1012"/>
      <c r="V92" s="906">
        <f t="shared" si="50"/>
        <v>0</v>
      </c>
      <c r="W92" s="1013"/>
      <c r="X92" s="1013"/>
      <c r="Y92" s="486"/>
      <c r="Z92" s="486"/>
    </row>
    <row r="93" spans="1:26" s="26" customFormat="1" ht="12.75" customHeight="1" x14ac:dyDescent="0.25">
      <c r="A93" s="4" t="s">
        <v>242</v>
      </c>
      <c r="B93" s="3" t="s">
        <v>243</v>
      </c>
      <c r="C93" s="111">
        <f>SUM(C94:C94)</f>
        <v>0</v>
      </c>
      <c r="D93" s="111">
        <f>SUM(D94:D94)</f>
        <v>0</v>
      </c>
      <c r="E93" s="111">
        <f>SUM(E94:E94)</f>
        <v>0</v>
      </c>
      <c r="F93" s="111">
        <f>SUM(F94:F94)</f>
        <v>0</v>
      </c>
      <c r="G93" s="111"/>
      <c r="H93" s="111">
        <f>SUM(H94:H94)</f>
        <v>0</v>
      </c>
      <c r="I93" s="111">
        <f>SUM(I94:I94)</f>
        <v>0</v>
      </c>
      <c r="J93" s="111">
        <f>SUM(J94:J94)</f>
        <v>0</v>
      </c>
      <c r="K93" s="111"/>
      <c r="L93" s="950">
        <f t="shared" si="51"/>
        <v>0</v>
      </c>
      <c r="M93" s="950">
        <f t="shared" si="52"/>
        <v>0</v>
      </c>
      <c r="N93" s="950">
        <f t="shared" si="53"/>
        <v>0</v>
      </c>
      <c r="O93" s="111"/>
      <c r="P93" s="111">
        <f t="shared" ref="P93:P94" si="65">+(D93-C93)*P$10</f>
        <v>0</v>
      </c>
      <c r="Q93" s="111">
        <f t="shared" ref="Q93:Q94" si="66">+(E93-D93)*Q$10</f>
        <v>0</v>
      </c>
      <c r="R93" s="111">
        <f t="shared" ref="R93:R94" si="67">+(F93-E93)*R$10</f>
        <v>0</v>
      </c>
      <c r="S93" s="111">
        <f t="shared" ref="S93:S94" si="68">SUM(P93:R93)</f>
        <v>0</v>
      </c>
      <c r="T93" s="1005">
        <f t="shared" ref="T93:T94" si="69">IF(C93=0,0,+S93/C93)</f>
        <v>0</v>
      </c>
      <c r="U93" s="1006"/>
      <c r="V93" s="906">
        <f t="shared" si="50"/>
        <v>0</v>
      </c>
      <c r="W93" s="1008"/>
      <c r="X93" s="1008"/>
      <c r="Y93" s="1008"/>
      <c r="Z93" s="1008"/>
    </row>
    <row r="94" spans="1:26" ht="12.75" customHeight="1" x14ac:dyDescent="0.25">
      <c r="A94" s="10"/>
      <c r="B94" s="14"/>
      <c r="C94" s="107"/>
      <c r="D94" s="106"/>
      <c r="E94" s="106"/>
      <c r="F94" s="106"/>
      <c r="G94" s="106"/>
      <c r="H94" s="106"/>
      <c r="I94" s="120"/>
      <c r="J94" s="106"/>
      <c r="K94" s="106"/>
      <c r="L94" s="1001"/>
      <c r="M94" s="1001"/>
      <c r="N94" s="1001"/>
      <c r="O94" s="106"/>
      <c r="P94" s="38">
        <f t="shared" si="65"/>
        <v>0</v>
      </c>
      <c r="Q94" s="38">
        <f t="shared" si="66"/>
        <v>0</v>
      </c>
      <c r="R94" s="38">
        <f t="shared" si="67"/>
        <v>0</v>
      </c>
      <c r="S94" s="38">
        <f t="shared" si="68"/>
        <v>0</v>
      </c>
      <c r="T94" s="1007">
        <f t="shared" si="69"/>
        <v>0</v>
      </c>
      <c r="U94" s="1006"/>
      <c r="V94" s="906">
        <f t="shared" si="50"/>
        <v>0</v>
      </c>
      <c r="W94" s="486"/>
      <c r="X94" s="486"/>
      <c r="Y94" s="486"/>
      <c r="Z94" s="486"/>
    </row>
    <row r="95" spans="1:26" s="26" customFormat="1" ht="12.75" customHeight="1" x14ac:dyDescent="0.25">
      <c r="A95" s="4" t="s">
        <v>285</v>
      </c>
      <c r="B95" s="3" t="s">
        <v>286</v>
      </c>
      <c r="C95" s="111">
        <f>SUM(C96:C98)</f>
        <v>3734000</v>
      </c>
      <c r="D95" s="111">
        <f>SUM(D96:D98)</f>
        <v>3734000</v>
      </c>
      <c r="E95" s="111">
        <f>SUM(E96:E98)</f>
        <v>3734000</v>
      </c>
      <c r="F95" s="111">
        <f>SUM(F96:F98)</f>
        <v>1417906</v>
      </c>
      <c r="G95" s="111"/>
      <c r="H95" s="111">
        <f>SUM(H96:H98)</f>
        <v>1548085</v>
      </c>
      <c r="I95" s="111">
        <f>+I96+I97+I98</f>
        <v>2538122</v>
      </c>
      <c r="J95" s="111">
        <f>+J96+J97+J98</f>
        <v>3763232</v>
      </c>
      <c r="K95" s="111"/>
      <c r="L95" s="950">
        <f t="shared" si="51"/>
        <v>0.41459159078735941</v>
      </c>
      <c r="M95" s="950">
        <f t="shared" si="52"/>
        <v>0.67973272629887516</v>
      </c>
      <c r="N95" s="950">
        <f t="shared" si="53"/>
        <v>1.0078286020353509</v>
      </c>
      <c r="O95" s="111"/>
      <c r="P95" s="111">
        <f t="shared" si="23"/>
        <v>0</v>
      </c>
      <c r="Q95" s="111">
        <f t="shared" si="24"/>
        <v>0</v>
      </c>
      <c r="R95" s="111">
        <f t="shared" si="25"/>
        <v>-2316094</v>
      </c>
      <c r="S95" s="111">
        <f t="shared" si="26"/>
        <v>-2316094</v>
      </c>
      <c r="T95" s="1005">
        <f t="shared" si="64"/>
        <v>-0.62027155865024108</v>
      </c>
      <c r="U95" s="1006"/>
      <c r="V95" s="906">
        <f t="shared" si="50"/>
        <v>0</v>
      </c>
      <c r="W95" s="1008"/>
      <c r="X95" s="1008"/>
      <c r="Y95" s="1008"/>
      <c r="Z95" s="1008"/>
    </row>
    <row r="96" spans="1:26" ht="27" customHeight="1" x14ac:dyDescent="0.25">
      <c r="A96" s="157" t="s">
        <v>515</v>
      </c>
      <c r="B96" s="14" t="s">
        <v>297</v>
      </c>
      <c r="C96" s="107">
        <f>89000+3274000</f>
        <v>3363000</v>
      </c>
      <c r="D96" s="107">
        <v>3363000</v>
      </c>
      <c r="E96" s="107">
        <v>3363000</v>
      </c>
      <c r="F96" s="107">
        <v>1263000</v>
      </c>
      <c r="G96" s="107"/>
      <c r="H96" s="106">
        <f>82000+1333080</f>
        <v>1415080</v>
      </c>
      <c r="I96" s="106">
        <f>132000+2186122</f>
        <v>2318122</v>
      </c>
      <c r="J96" s="106">
        <f>236750+2942102</f>
        <v>3178852</v>
      </c>
      <c r="K96" s="107"/>
      <c r="L96" s="1001">
        <f t="shared" si="51"/>
        <v>0.42077906630984241</v>
      </c>
      <c r="M96" s="1001">
        <f t="shared" si="52"/>
        <v>0.68930181385667555</v>
      </c>
      <c r="N96" s="1001">
        <f t="shared" si="53"/>
        <v>0.94524293785310731</v>
      </c>
      <c r="O96" s="107"/>
      <c r="P96" s="38">
        <f t="shared" si="23"/>
        <v>0</v>
      </c>
      <c r="Q96" s="38">
        <f t="shared" si="24"/>
        <v>0</v>
      </c>
      <c r="R96" s="38">
        <f t="shared" si="25"/>
        <v>-2100000</v>
      </c>
      <c r="S96" s="38">
        <f t="shared" si="26"/>
        <v>-2100000</v>
      </c>
      <c r="T96" s="1007">
        <f t="shared" si="64"/>
        <v>-0.62444246208742193</v>
      </c>
      <c r="U96" s="1006"/>
      <c r="V96" s="906">
        <f t="shared" si="50"/>
        <v>0</v>
      </c>
      <c r="W96" s="486"/>
      <c r="X96" s="486"/>
      <c r="Y96" s="486"/>
      <c r="Z96" s="486"/>
    </row>
    <row r="97" spans="1:26" ht="12.75" customHeight="1" x14ac:dyDescent="0.25">
      <c r="A97" s="10" t="s">
        <v>299</v>
      </c>
      <c r="B97" s="14" t="s">
        <v>300</v>
      </c>
      <c r="C97" s="107">
        <v>370000</v>
      </c>
      <c r="D97" s="107">
        <v>370000</v>
      </c>
      <c r="E97" s="107">
        <v>370000</v>
      </c>
      <c r="F97" s="107">
        <v>153906</v>
      </c>
      <c r="G97" s="107"/>
      <c r="H97" s="106">
        <v>129235</v>
      </c>
      <c r="I97" s="106">
        <v>209790</v>
      </c>
      <c r="J97" s="106">
        <v>293539</v>
      </c>
      <c r="K97" s="107"/>
      <c r="L97" s="1001">
        <f t="shared" si="51"/>
        <v>0.34928378378378377</v>
      </c>
      <c r="M97" s="1001">
        <f t="shared" si="52"/>
        <v>0.56699999999999995</v>
      </c>
      <c r="N97" s="1001">
        <f t="shared" si="53"/>
        <v>0.79334864864864862</v>
      </c>
      <c r="O97" s="107"/>
      <c r="P97" s="38">
        <f t="shared" si="23"/>
        <v>0</v>
      </c>
      <c r="Q97" s="38">
        <f t="shared" si="24"/>
        <v>0</v>
      </c>
      <c r="R97" s="38">
        <f t="shared" si="25"/>
        <v>-216094</v>
      </c>
      <c r="S97" s="38">
        <f t="shared" si="26"/>
        <v>-216094</v>
      </c>
      <c r="T97" s="1007">
        <f t="shared" si="64"/>
        <v>-0.5840378378378378</v>
      </c>
      <c r="U97" s="1006"/>
      <c r="V97" s="906">
        <f t="shared" si="50"/>
        <v>0</v>
      </c>
      <c r="W97" s="486"/>
      <c r="X97" s="486"/>
      <c r="Y97" s="486"/>
      <c r="Z97" s="486"/>
    </row>
    <row r="98" spans="1:26" ht="26.4" customHeight="1" x14ac:dyDescent="0.25">
      <c r="A98" s="157" t="s">
        <v>513</v>
      </c>
      <c r="B98" s="157" t="s">
        <v>472</v>
      </c>
      <c r="C98" s="107">
        <v>1000</v>
      </c>
      <c r="D98" s="107">
        <v>1000</v>
      </c>
      <c r="E98" s="107">
        <v>1000</v>
      </c>
      <c r="F98" s="107">
        <v>1000</v>
      </c>
      <c r="G98" s="107"/>
      <c r="H98" s="106">
        <f>91+3679</f>
        <v>3770</v>
      </c>
      <c r="I98" s="106">
        <f>154+10056</f>
        <v>10210</v>
      </c>
      <c r="J98" s="106">
        <f>205+290636</f>
        <v>290841</v>
      </c>
      <c r="K98" s="107"/>
      <c r="L98" s="1001">
        <f t="shared" si="51"/>
        <v>3.77</v>
      </c>
      <c r="M98" s="1001">
        <f t="shared" si="52"/>
        <v>10.210000000000001</v>
      </c>
      <c r="N98" s="1001">
        <f t="shared" si="53"/>
        <v>290.84100000000001</v>
      </c>
      <c r="O98" s="107"/>
      <c r="P98" s="38">
        <f t="shared" si="23"/>
        <v>0</v>
      </c>
      <c r="Q98" s="38">
        <f t="shared" si="24"/>
        <v>0</v>
      </c>
      <c r="R98" s="38">
        <f t="shared" si="25"/>
        <v>0</v>
      </c>
      <c r="S98" s="38">
        <f t="shared" si="26"/>
        <v>0</v>
      </c>
      <c r="T98" s="1007">
        <f t="shared" si="64"/>
        <v>0</v>
      </c>
      <c r="U98" s="1006"/>
      <c r="V98" s="906">
        <f t="shared" si="50"/>
        <v>0</v>
      </c>
      <c r="W98" s="486"/>
      <c r="X98" s="486"/>
      <c r="Y98" s="486"/>
      <c r="Z98" s="486"/>
    </row>
    <row r="99" spans="1:26" s="26" customFormat="1" ht="12.75" customHeight="1" x14ac:dyDescent="0.25">
      <c r="A99" s="4" t="s">
        <v>335</v>
      </c>
      <c r="B99" s="3" t="s">
        <v>336</v>
      </c>
      <c r="C99" s="111">
        <f>SUM(C100:C101)</f>
        <v>53265000</v>
      </c>
      <c r="D99" s="111">
        <f t="shared" ref="D99:J99" si="70">SUM(D100:D101)</f>
        <v>53265000</v>
      </c>
      <c r="E99" s="111">
        <f t="shared" si="70"/>
        <v>53265000</v>
      </c>
      <c r="F99" s="111">
        <f t="shared" si="70"/>
        <v>55581094</v>
      </c>
      <c r="G99" s="111"/>
      <c r="H99" s="111">
        <f t="shared" si="70"/>
        <v>28715808</v>
      </c>
      <c r="I99" s="111">
        <f t="shared" si="70"/>
        <v>41061987</v>
      </c>
      <c r="J99" s="111">
        <f t="shared" si="70"/>
        <v>55581094</v>
      </c>
      <c r="K99" s="111"/>
      <c r="L99" s="950">
        <f t="shared" si="51"/>
        <v>0.53911213742607711</v>
      </c>
      <c r="M99" s="950">
        <f t="shared" si="52"/>
        <v>0.77089997183891856</v>
      </c>
      <c r="N99" s="950">
        <f t="shared" si="53"/>
        <v>1.043482474420351</v>
      </c>
      <c r="O99" s="111"/>
      <c r="P99" s="111">
        <f t="shared" si="23"/>
        <v>0</v>
      </c>
      <c r="Q99" s="111">
        <f t="shared" si="24"/>
        <v>0</v>
      </c>
      <c r="R99" s="111">
        <f t="shared" si="25"/>
        <v>2316094</v>
      </c>
      <c r="S99" s="111">
        <f t="shared" si="26"/>
        <v>2316094</v>
      </c>
      <c r="T99" s="1005">
        <f t="shared" si="64"/>
        <v>4.3482474420351074E-2</v>
      </c>
      <c r="U99" s="1006"/>
      <c r="V99" s="906">
        <f t="shared" si="50"/>
        <v>0</v>
      </c>
      <c r="W99" s="1008"/>
      <c r="X99" s="1008"/>
      <c r="Y99" s="1008"/>
      <c r="Z99" s="1008"/>
    </row>
    <row r="100" spans="1:26" ht="12.75" customHeight="1" x14ac:dyDescent="0.25">
      <c r="A100" s="10" t="s">
        <v>361</v>
      </c>
      <c r="B100" s="14" t="s">
        <v>391</v>
      </c>
      <c r="C100" s="107">
        <f>+C105</f>
        <v>50869358</v>
      </c>
      <c r="D100" s="106">
        <v>50869358</v>
      </c>
      <c r="E100" s="106">
        <v>50869358</v>
      </c>
      <c r="F100" s="106">
        <v>53185452</v>
      </c>
      <c r="G100" s="106"/>
      <c r="H100" s="106">
        <v>26320166</v>
      </c>
      <c r="I100" s="120">
        <v>38666345</v>
      </c>
      <c r="J100" s="106">
        <v>53185452</v>
      </c>
      <c r="K100" s="106"/>
      <c r="L100" s="1001">
        <f t="shared" si="51"/>
        <v>0.51740708030952542</v>
      </c>
      <c r="M100" s="1001">
        <f t="shared" si="52"/>
        <v>0.76011073306645627</v>
      </c>
      <c r="N100" s="1001">
        <f t="shared" si="53"/>
        <v>1.0455302384590739</v>
      </c>
      <c r="O100" s="106"/>
      <c r="P100" s="38">
        <f t="shared" si="23"/>
        <v>0</v>
      </c>
      <c r="Q100" s="38">
        <f t="shared" si="24"/>
        <v>0</v>
      </c>
      <c r="R100" s="38">
        <f t="shared" si="25"/>
        <v>2316094</v>
      </c>
      <c r="S100" s="38">
        <f t="shared" si="26"/>
        <v>2316094</v>
      </c>
      <c r="T100" s="1007">
        <f t="shared" si="64"/>
        <v>4.5530238459073925E-2</v>
      </c>
      <c r="U100" s="1006"/>
      <c r="V100" s="906">
        <f t="shared" si="50"/>
        <v>0</v>
      </c>
      <c r="W100" s="486"/>
      <c r="X100" s="486"/>
      <c r="Y100" s="486"/>
      <c r="Z100" s="486"/>
    </row>
    <row r="101" spans="1:26" ht="12.75" customHeight="1" x14ac:dyDescent="0.25">
      <c r="A101" s="10" t="s">
        <v>349</v>
      </c>
      <c r="B101" s="14" t="s">
        <v>350</v>
      </c>
      <c r="C101" s="171">
        <v>2395642</v>
      </c>
      <c r="D101" s="106">
        <v>2395642</v>
      </c>
      <c r="E101" s="106">
        <v>2395642</v>
      </c>
      <c r="F101" s="106">
        <v>2395642</v>
      </c>
      <c r="G101" s="106"/>
      <c r="H101" s="106">
        <v>2395642</v>
      </c>
      <c r="I101" s="106">
        <v>2395642</v>
      </c>
      <c r="J101" s="106">
        <v>2395642</v>
      </c>
      <c r="K101" s="106"/>
      <c r="L101" s="948">
        <f t="shared" si="51"/>
        <v>1</v>
      </c>
      <c r="M101" s="948">
        <f t="shared" si="52"/>
        <v>1</v>
      </c>
      <c r="N101" s="948">
        <f t="shared" si="53"/>
        <v>1</v>
      </c>
      <c r="O101" s="106"/>
      <c r="P101" s="38">
        <f t="shared" si="23"/>
        <v>0</v>
      </c>
      <c r="Q101" s="38">
        <f t="shared" si="24"/>
        <v>0</v>
      </c>
      <c r="R101" s="38">
        <f t="shared" si="25"/>
        <v>0</v>
      </c>
      <c r="S101" s="38">
        <f t="shared" si="26"/>
        <v>0</v>
      </c>
      <c r="T101" s="1007">
        <f t="shared" si="64"/>
        <v>0</v>
      </c>
      <c r="U101" s="1006"/>
      <c r="V101" s="906">
        <f>+S101-F101+C101</f>
        <v>0</v>
      </c>
      <c r="W101" s="486"/>
      <c r="X101" s="486"/>
      <c r="Y101" s="486"/>
      <c r="Z101" s="486"/>
    </row>
    <row r="102" spans="1:26" ht="20.25" customHeight="1" x14ac:dyDescent="0.25">
      <c r="A102" s="149"/>
      <c r="B102" s="147" t="s">
        <v>379</v>
      </c>
      <c r="C102" s="148">
        <f>+C95+C99+C93</f>
        <v>56999000</v>
      </c>
      <c r="D102" s="148">
        <f>+D95+D99+D93</f>
        <v>56999000</v>
      </c>
      <c r="E102" s="148">
        <f>+E95+E99+E93</f>
        <v>56999000</v>
      </c>
      <c r="F102" s="148">
        <f>+F95+F99+F93</f>
        <v>56999000</v>
      </c>
      <c r="G102" s="148"/>
      <c r="H102" s="148">
        <f>+H95+H99+H93</f>
        <v>30263893</v>
      </c>
      <c r="I102" s="148">
        <f>+I95+I99+I93</f>
        <v>43600109</v>
      </c>
      <c r="J102" s="148">
        <f>+J95+J99+J93</f>
        <v>59344326</v>
      </c>
      <c r="K102" s="150"/>
      <c r="L102" s="514">
        <f t="shared" si="51"/>
        <v>0.53095480622467062</v>
      </c>
      <c r="M102" s="514">
        <f t="shared" si="52"/>
        <v>0.76492761276513621</v>
      </c>
      <c r="N102" s="514">
        <f t="shared" si="53"/>
        <v>1.0411467920489834</v>
      </c>
      <c r="O102" s="150"/>
      <c r="P102" s="154">
        <f t="shared" ref="P102:R102" si="71">+(D102-C102)*P$10</f>
        <v>0</v>
      </c>
      <c r="Q102" s="154">
        <f t="shared" si="71"/>
        <v>0</v>
      </c>
      <c r="R102" s="154">
        <f t="shared" si="71"/>
        <v>0</v>
      </c>
      <c r="S102" s="154">
        <f t="shared" ref="S102" si="72">SUM(P102:R102)</f>
        <v>0</v>
      </c>
      <c r="T102" s="552">
        <f t="shared" si="64"/>
        <v>0</v>
      </c>
      <c r="U102" s="1015"/>
      <c r="V102" s="690">
        <f>+S102-F102+C102</f>
        <v>0</v>
      </c>
      <c r="W102" s="486"/>
      <c r="X102" s="486"/>
      <c r="Y102" s="486"/>
      <c r="Z102" s="486"/>
    </row>
    <row r="103" spans="1:26" ht="12.75" customHeight="1" x14ac:dyDescent="0.25">
      <c r="C103" s="110"/>
      <c r="D103" s="110"/>
      <c r="E103" s="110"/>
      <c r="F103" s="110"/>
      <c r="G103" s="110"/>
      <c r="H103" s="110"/>
      <c r="I103" s="110"/>
      <c r="J103" s="110"/>
      <c r="K103" s="110"/>
      <c r="L103" s="1002"/>
      <c r="M103" s="1002"/>
      <c r="N103" s="1002"/>
      <c r="O103" s="110"/>
      <c r="P103" s="114"/>
      <c r="Q103" s="114"/>
      <c r="R103" s="114"/>
      <c r="S103" s="114"/>
      <c r="T103" s="486"/>
      <c r="U103" s="486"/>
      <c r="V103" s="486"/>
      <c r="W103" s="486"/>
      <c r="X103" s="486"/>
      <c r="Y103" s="486"/>
      <c r="Z103" s="486"/>
    </row>
    <row r="104" spans="1:26" ht="12.75" customHeight="1" x14ac:dyDescent="0.25">
      <c r="C104" s="110"/>
      <c r="D104" s="110"/>
      <c r="E104" s="110"/>
      <c r="F104" s="110"/>
      <c r="G104" s="110"/>
      <c r="H104" s="110"/>
      <c r="I104" s="110"/>
      <c r="J104" s="110"/>
      <c r="K104" s="110"/>
      <c r="L104" s="545"/>
      <c r="M104" s="545"/>
      <c r="N104" s="545"/>
      <c r="O104" s="110"/>
      <c r="P104" s="114"/>
      <c r="Q104" s="114"/>
      <c r="R104" s="114"/>
      <c r="S104" s="114"/>
      <c r="T104" s="486"/>
      <c r="U104" s="486"/>
      <c r="V104" s="486"/>
      <c r="W104" s="486"/>
      <c r="X104" s="486"/>
      <c r="Y104" s="486"/>
      <c r="Z104" s="486"/>
    </row>
    <row r="105" spans="1:26" ht="12.75" customHeight="1" x14ac:dyDescent="0.25">
      <c r="C105" s="110">
        <f>+C89-C95-C101</f>
        <v>50869358</v>
      </c>
      <c r="D105" s="110"/>
      <c r="E105" s="110"/>
      <c r="F105" s="110"/>
      <c r="G105" s="110"/>
      <c r="H105" s="110"/>
      <c r="I105" s="110"/>
      <c r="J105" s="110"/>
      <c r="K105" s="110"/>
      <c r="L105" s="545"/>
      <c r="M105" s="545"/>
      <c r="N105" s="545"/>
      <c r="O105" s="110"/>
      <c r="P105" s="114"/>
      <c r="Q105" s="114"/>
      <c r="R105" s="114"/>
      <c r="S105" s="114"/>
    </row>
    <row r="106" spans="1:26" ht="12.75" customHeight="1" x14ac:dyDescent="0.25">
      <c r="C106" s="110"/>
      <c r="D106" s="110"/>
      <c r="E106" s="110"/>
      <c r="F106" s="110"/>
      <c r="G106" s="110"/>
      <c r="H106" s="110"/>
      <c r="I106" s="110"/>
      <c r="J106" s="110"/>
      <c r="K106" s="110"/>
      <c r="L106" s="545"/>
      <c r="M106" s="545"/>
      <c r="N106" s="545"/>
      <c r="O106" s="110"/>
      <c r="P106" s="114"/>
      <c r="Q106" s="114"/>
      <c r="R106" s="114"/>
      <c r="S106" s="114"/>
    </row>
    <row r="107" spans="1:26" ht="12.75" customHeight="1" x14ac:dyDescent="0.25">
      <c r="A107" s="34"/>
      <c r="B107" s="34" t="s">
        <v>480</v>
      </c>
      <c r="C107" s="110"/>
      <c r="D107" s="110"/>
      <c r="E107" s="110"/>
      <c r="F107" s="110"/>
      <c r="G107" s="110"/>
      <c r="H107" s="110"/>
      <c r="I107" s="110"/>
      <c r="J107" s="110"/>
      <c r="K107" s="110"/>
      <c r="L107" s="545"/>
      <c r="M107" s="545"/>
      <c r="N107" s="545"/>
      <c r="O107" s="110"/>
      <c r="P107" s="43"/>
      <c r="Q107" s="43"/>
      <c r="R107" s="43"/>
      <c r="S107" s="43"/>
    </row>
    <row r="108" spans="1:26" ht="12.75" customHeight="1" x14ac:dyDescent="0.25">
      <c r="C108" s="43"/>
      <c r="D108" s="43"/>
      <c r="E108" s="43"/>
      <c r="F108" s="43"/>
      <c r="G108" s="43"/>
      <c r="H108" s="43"/>
      <c r="I108" s="43"/>
      <c r="J108" s="43"/>
      <c r="K108" s="43"/>
      <c r="L108" s="545"/>
      <c r="M108" s="545"/>
      <c r="N108" s="545"/>
      <c r="O108" s="43"/>
      <c r="P108" s="43"/>
      <c r="Q108" s="43"/>
      <c r="R108" s="43"/>
      <c r="S108" s="43"/>
    </row>
  </sheetData>
  <mergeCells count="5">
    <mergeCell ref="C9:F9"/>
    <mergeCell ref="H9:N9"/>
    <mergeCell ref="P9:T9"/>
    <mergeCell ref="H10:J10"/>
    <mergeCell ref="L10:N10"/>
  </mergeCells>
  <phoneticPr fontId="2" type="noConversion"/>
  <printOptions horizontalCentered="1"/>
  <pageMargins left="0" right="0" top="0.59055118110236227" bottom="0" header="0.51181102362204722" footer="0.51181102362204722"/>
  <pageSetup paperSize="9" scale="52" fitToHeight="0" orientation="landscape" r:id="rId1"/>
  <headerFooter alignWithMargins="0">
    <oddHeader>&amp;R&amp;"Arial,Félkövér dőlt"&amp;A  /&amp;"Arial,Normál"
&amp;"Arial,Dőlt"&amp;8&amp;F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28</vt:i4>
      </vt:variant>
      <vt:variant>
        <vt:lpstr>Névvel ellátott tartományok</vt:lpstr>
      </vt:variant>
      <vt:variant>
        <vt:i4>13</vt:i4>
      </vt:variant>
    </vt:vector>
  </HeadingPairs>
  <TitlesOfParts>
    <vt:vector size="41" baseType="lpstr">
      <vt:lpstr>kiadási segédtábla</vt:lpstr>
      <vt:lpstr>bevételi segédtábla</vt:lpstr>
      <vt:lpstr>egységenkénti segédtábla</vt:lpstr>
      <vt:lpstr>1. Sülysáp összesen</vt:lpstr>
      <vt:lpstr> 2. Önk. Bevételek</vt:lpstr>
      <vt:lpstr>3. Önk. Kiadások</vt:lpstr>
      <vt:lpstr>4. Dr Gáspár HSZK</vt:lpstr>
      <vt:lpstr>5. Csicsergő</vt:lpstr>
      <vt:lpstr>6. Gólyahír</vt:lpstr>
      <vt:lpstr>7. Polg.Hiv.</vt:lpstr>
      <vt:lpstr>8. WAMKK</vt:lpstr>
      <vt:lpstr>9. Közp. Konyha</vt:lpstr>
      <vt:lpstr>10. Tám.kieg és kötött felh</vt:lpstr>
      <vt:lpstr>11.Tám. szoc., ált., köznev.</vt:lpstr>
      <vt:lpstr>12. Mérleg Önk</vt:lpstr>
      <vt:lpstr>13. Konsz mérleg</vt:lpstr>
      <vt:lpstr>14.Eszközváltozás kimutatás</vt:lpstr>
      <vt:lpstr>15.Vagyonkimutatás</vt:lpstr>
      <vt:lpstr>16. Eredménykimutatás</vt:lpstr>
      <vt:lpstr>17. Konsz. eredménykim</vt:lpstr>
      <vt:lpstr>18. Konsz. maradványkimutat</vt:lpstr>
      <vt:lpstr>19. Kölcsön és hiteláll</vt:lpstr>
      <vt:lpstr>20. Adósságáll.</vt:lpstr>
      <vt:lpstr>21. Pénzeszközök változása</vt:lpstr>
      <vt:lpstr>22.Működési mérleg</vt:lpstr>
      <vt:lpstr>23.Felhalmozási mérleg</vt:lpstr>
      <vt:lpstr>24.Beruházások és felújítások</vt:lpstr>
      <vt:lpstr>25.Közvetett támogatások</vt:lpstr>
      <vt:lpstr>'egységenkénti segédtábla'!Nyomtatási_cím</vt:lpstr>
      <vt:lpstr>' 2. Önk. Bevételek'!Nyomtatási_terület</vt:lpstr>
      <vt:lpstr>'1. Sülysáp összesen'!Nyomtatási_terület</vt:lpstr>
      <vt:lpstr>'3. Önk. Kiadások'!Nyomtatási_terület</vt:lpstr>
      <vt:lpstr>'4. Dr Gáspár HSZK'!Nyomtatási_terület</vt:lpstr>
      <vt:lpstr>'5. Csicsergő'!Nyomtatási_terület</vt:lpstr>
      <vt:lpstr>'6. Gólyahír'!Nyomtatási_terület</vt:lpstr>
      <vt:lpstr>'7. Polg.Hiv.'!Nyomtatási_terület</vt:lpstr>
      <vt:lpstr>'8. WAMKK'!Nyomtatási_terület</vt:lpstr>
      <vt:lpstr>'9. Közp. Konyha'!Nyomtatási_terület</vt:lpstr>
      <vt:lpstr>'bevételi segédtábla'!Nyomtatási_terület</vt:lpstr>
      <vt:lpstr>'egységenkénti segédtábla'!Nyomtatási_terület</vt:lpstr>
      <vt:lpstr>'kiadási segédtábla'!Nyomtatási_terület</vt:lpstr>
    </vt:vector>
  </TitlesOfParts>
  <Company>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Smidtné Nagy Terézia</cp:lastModifiedBy>
  <cp:lastPrinted>2019-05-18T07:37:39Z</cp:lastPrinted>
  <dcterms:created xsi:type="dcterms:W3CDTF">2014-01-15T07:36:54Z</dcterms:created>
  <dcterms:modified xsi:type="dcterms:W3CDTF">2019-05-23T22:38:02Z</dcterms:modified>
</cp:coreProperties>
</file>